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6 сесія\проекти\56 сесія\фінансові питання\бюджет внесення змін\"/>
    </mc:Choice>
  </mc:AlternateContent>
  <bookViews>
    <workbookView xWindow="0" yWindow="0" windowWidth="20490" windowHeight="7620" tabRatio="741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(2)'!$A$1:$P$376</definedName>
  </definedNames>
  <calcPr calcId="162913" fullCalcOnLoad="1"/>
</workbook>
</file>

<file path=xl/calcChain.xml><?xml version="1.0" encoding="utf-8"?>
<calcChain xmlns="http://schemas.openxmlformats.org/spreadsheetml/2006/main">
  <c r="F129" i="8" l="1"/>
  <c r="K94" i="8"/>
  <c r="F222" i="8"/>
  <c r="F88" i="8"/>
  <c r="E88" i="8"/>
  <c r="P88" i="8"/>
  <c r="F120" i="8"/>
  <c r="E121" i="8"/>
  <c r="O257" i="8"/>
  <c r="J257" i="8"/>
  <c r="P257" i="8"/>
  <c r="K97" i="8"/>
  <c r="K55" i="8"/>
  <c r="K51" i="8"/>
  <c r="K68" i="8"/>
  <c r="F68" i="8"/>
  <c r="O274" i="8"/>
  <c r="K269" i="8"/>
  <c r="O269" i="8"/>
  <c r="J269" i="8"/>
  <c r="F278" i="8"/>
  <c r="K61" i="8"/>
  <c r="F223" i="8"/>
  <c r="O99" i="8"/>
  <c r="K89" i="8"/>
  <c r="K341" i="8"/>
  <c r="K92" i="8"/>
  <c r="O94" i="8"/>
  <c r="F100" i="8"/>
  <c r="F111" i="8"/>
  <c r="K274" i="8"/>
  <c r="K43" i="8"/>
  <c r="G55" i="8"/>
  <c r="F55" i="8"/>
  <c r="O55" i="8"/>
  <c r="H55" i="8"/>
  <c r="F106" i="8"/>
  <c r="K322" i="8"/>
  <c r="K327" i="8"/>
  <c r="K308" i="8"/>
  <c r="K344" i="8"/>
  <c r="K278" i="8"/>
  <c r="F200" i="8"/>
  <c r="K42" i="8"/>
  <c r="L305" i="8"/>
  <c r="M305" i="8"/>
  <c r="N305" i="8"/>
  <c r="O319" i="8"/>
  <c r="J319" i="8"/>
  <c r="P319" i="8"/>
  <c r="O285" i="8"/>
  <c r="J285" i="8"/>
  <c r="P285" i="8"/>
  <c r="P121" i="8"/>
  <c r="E122" i="8"/>
  <c r="F89" i="8"/>
  <c r="O348" i="8"/>
  <c r="G68" i="8"/>
  <c r="G50" i="8"/>
  <c r="F50" i="8"/>
  <c r="F43" i="8"/>
  <c r="E69" i="8"/>
  <c r="O54" i="8"/>
  <c r="J54" i="8"/>
  <c r="E54" i="8"/>
  <c r="E51" i="8"/>
  <c r="E129" i="8"/>
  <c r="O350" i="8"/>
  <c r="J350" i="8"/>
  <c r="G41" i="8"/>
  <c r="G78" i="8"/>
  <c r="F78" i="8"/>
  <c r="G142" i="8"/>
  <c r="G17" i="8"/>
  <c r="G20" i="8"/>
  <c r="G22" i="8"/>
  <c r="G37" i="8"/>
  <c r="G29" i="8"/>
  <c r="G18" i="8"/>
  <c r="F17" i="8"/>
  <c r="F368" i="8"/>
  <c r="G368" i="8"/>
  <c r="G306" i="8"/>
  <c r="G355" i="8"/>
  <c r="G354" i="8"/>
  <c r="G352" i="8"/>
  <c r="G364" i="8"/>
  <c r="F355" i="8"/>
  <c r="G266" i="8"/>
  <c r="G265" i="8"/>
  <c r="G263" i="8"/>
  <c r="F266" i="8"/>
  <c r="G235" i="8"/>
  <c r="G234" i="8"/>
  <c r="G232" i="8"/>
  <c r="F235" i="8"/>
  <c r="G228" i="8"/>
  <c r="F228" i="8"/>
  <c r="G93" i="8"/>
  <c r="G92" i="8"/>
  <c r="G83" i="8"/>
  <c r="F93" i="8"/>
  <c r="G247" i="8"/>
  <c r="F247" i="8"/>
  <c r="G49" i="8"/>
  <c r="G40" i="8"/>
  <c r="O372" i="8"/>
  <c r="J372" i="8"/>
  <c r="E372" i="8"/>
  <c r="O371" i="8"/>
  <c r="J371" i="8"/>
  <c r="P371" i="8"/>
  <c r="O370" i="8"/>
  <c r="E369" i="8"/>
  <c r="P369" i="8"/>
  <c r="O368" i="8"/>
  <c r="J368" i="8"/>
  <c r="N367" i="8"/>
  <c r="N366" i="8"/>
  <c r="M367" i="8"/>
  <c r="M366" i="8"/>
  <c r="L367" i="8"/>
  <c r="L366" i="8"/>
  <c r="K367" i="8"/>
  <c r="K366" i="8"/>
  <c r="I367" i="8"/>
  <c r="I366" i="8"/>
  <c r="H367" i="8"/>
  <c r="H366" i="8"/>
  <c r="G367" i="8"/>
  <c r="G366" i="8"/>
  <c r="J365" i="8"/>
  <c r="J364" i="8"/>
  <c r="E365" i="8"/>
  <c r="E364" i="8"/>
  <c r="P364" i="8"/>
  <c r="O364" i="8"/>
  <c r="N364" i="8"/>
  <c r="M364" i="8"/>
  <c r="M354" i="8"/>
  <c r="M352" i="8"/>
  <c r="M360" i="8"/>
  <c r="L364" i="8"/>
  <c r="K364" i="8"/>
  <c r="K354" i="8"/>
  <c r="K352" i="8"/>
  <c r="K360" i="8"/>
  <c r="I364" i="8"/>
  <c r="I354" i="8"/>
  <c r="I352" i="8"/>
  <c r="H364" i="8"/>
  <c r="H354" i="8"/>
  <c r="H352" i="8"/>
  <c r="F364" i="8"/>
  <c r="O363" i="8"/>
  <c r="J363" i="8"/>
  <c r="P363" i="8"/>
  <c r="O362" i="8"/>
  <c r="J362" i="8"/>
  <c r="P362" i="8"/>
  <c r="O361" i="8"/>
  <c r="J361" i="8"/>
  <c r="E361" i="8"/>
  <c r="P361" i="8"/>
  <c r="N360" i="8"/>
  <c r="N354" i="8"/>
  <c r="N352" i="8"/>
  <c r="L360" i="8"/>
  <c r="L354" i="8"/>
  <c r="L352" i="8"/>
  <c r="I360" i="8"/>
  <c r="H360" i="8"/>
  <c r="G360" i="8"/>
  <c r="F360" i="8"/>
  <c r="E360" i="8"/>
  <c r="O359" i="8"/>
  <c r="J359" i="8"/>
  <c r="E359" i="8"/>
  <c r="O358" i="8"/>
  <c r="J358" i="8"/>
  <c r="J353" i="8"/>
  <c r="P353" i="8"/>
  <c r="O357" i="8"/>
  <c r="E357" i="8"/>
  <c r="O356" i="8"/>
  <c r="J356" i="8"/>
  <c r="E356" i="8"/>
  <c r="P356" i="8"/>
  <c r="O355" i="8"/>
  <c r="J355" i="8"/>
  <c r="K353" i="8"/>
  <c r="O353" i="8"/>
  <c r="J349" i="8"/>
  <c r="E349" i="8"/>
  <c r="J348" i="8"/>
  <c r="E348" i="8"/>
  <c r="P348" i="8"/>
  <c r="J347" i="8"/>
  <c r="E347" i="8"/>
  <c r="O346" i="8"/>
  <c r="J346" i="8"/>
  <c r="E346" i="8"/>
  <c r="O345" i="8"/>
  <c r="J345" i="8"/>
  <c r="E345" i="8"/>
  <c r="O344" i="8"/>
  <c r="J344" i="8"/>
  <c r="J343" i="8"/>
  <c r="E344" i="8"/>
  <c r="O343" i="8"/>
  <c r="E343" i="8"/>
  <c r="O342" i="8"/>
  <c r="J342" i="8"/>
  <c r="O341" i="8"/>
  <c r="J341" i="8"/>
  <c r="E341" i="8"/>
  <c r="O340" i="8"/>
  <c r="J340" i="8"/>
  <c r="E340" i="8"/>
  <c r="O339" i="8"/>
  <c r="J339" i="8"/>
  <c r="E339" i="8"/>
  <c r="O338" i="8"/>
  <c r="J338" i="8"/>
  <c r="E338" i="8"/>
  <c r="O337" i="8"/>
  <c r="J337" i="8"/>
  <c r="E337" i="8"/>
  <c r="O336" i="8"/>
  <c r="J336" i="8"/>
  <c r="E336" i="8"/>
  <c r="O335" i="8"/>
  <c r="O334" i="8"/>
  <c r="O333" i="8"/>
  <c r="J333" i="8"/>
  <c r="E334" i="8"/>
  <c r="E333" i="8"/>
  <c r="O332" i="8"/>
  <c r="J332" i="8"/>
  <c r="E332" i="8"/>
  <c r="E331" i="8"/>
  <c r="N331" i="8"/>
  <c r="M331" i="8"/>
  <c r="M315" i="8"/>
  <c r="M329" i="8"/>
  <c r="M323" i="8"/>
  <c r="M297" i="8"/>
  <c r="L331" i="8"/>
  <c r="I331" i="8"/>
  <c r="H331" i="8"/>
  <c r="G331" i="8"/>
  <c r="F331" i="8"/>
  <c r="O330" i="8"/>
  <c r="J330" i="8"/>
  <c r="E330" i="8"/>
  <c r="E329" i="8"/>
  <c r="N329" i="8"/>
  <c r="N297" i="8"/>
  <c r="L329" i="8"/>
  <c r="I329" i="8"/>
  <c r="H329" i="8"/>
  <c r="G329" i="8"/>
  <c r="F329" i="8"/>
  <c r="O328" i="8"/>
  <c r="J328" i="8"/>
  <c r="E328" i="8"/>
  <c r="O327" i="8"/>
  <c r="J327" i="8"/>
  <c r="P327" i="8"/>
  <c r="E327" i="8"/>
  <c r="O326" i="8"/>
  <c r="J326" i="8"/>
  <c r="E326" i="8"/>
  <c r="O325" i="8"/>
  <c r="J325" i="8"/>
  <c r="P325" i="8"/>
  <c r="O324" i="8"/>
  <c r="O323" i="8"/>
  <c r="N323" i="8"/>
  <c r="L323" i="8"/>
  <c r="E323" i="8"/>
  <c r="O322" i="8"/>
  <c r="E322" i="8"/>
  <c r="O321" i="8"/>
  <c r="J321" i="8"/>
  <c r="P321" i="8"/>
  <c r="O320" i="8"/>
  <c r="J320" i="8"/>
  <c r="O306" i="8"/>
  <c r="J306" i="8"/>
  <c r="O307" i="8"/>
  <c r="J307" i="8"/>
  <c r="O310" i="8"/>
  <c r="J310" i="8"/>
  <c r="O311" i="8"/>
  <c r="J311" i="8"/>
  <c r="O312" i="8"/>
  <c r="J312" i="8"/>
  <c r="P312" i="8"/>
  <c r="O314" i="8"/>
  <c r="J314" i="8"/>
  <c r="L315" i="8"/>
  <c r="J315" i="8"/>
  <c r="O315" i="8"/>
  <c r="O317" i="8"/>
  <c r="J317" i="8"/>
  <c r="O318" i="8"/>
  <c r="J318" i="8"/>
  <c r="P318" i="8"/>
  <c r="E320" i="8"/>
  <c r="P320" i="8"/>
  <c r="E317" i="8"/>
  <c r="O316" i="8"/>
  <c r="J316" i="8"/>
  <c r="E316" i="8"/>
  <c r="N315" i="8"/>
  <c r="I315" i="8"/>
  <c r="H315" i="8"/>
  <c r="H305" i="8"/>
  <c r="H297" i="8"/>
  <c r="G315" i="8"/>
  <c r="F315" i="8"/>
  <c r="E314" i="8"/>
  <c r="P314" i="8"/>
  <c r="O313" i="8"/>
  <c r="J313" i="8"/>
  <c r="P313" i="8"/>
  <c r="E312" i="8"/>
  <c r="E311" i="8"/>
  <c r="P311" i="8"/>
  <c r="E310" i="8"/>
  <c r="P310" i="8"/>
  <c r="O309" i="8"/>
  <c r="J309" i="8"/>
  <c r="P309" i="8"/>
  <c r="E308" i="8"/>
  <c r="E307" i="8"/>
  <c r="E306" i="8"/>
  <c r="K20" i="8"/>
  <c r="K22" i="8"/>
  <c r="K16" i="8"/>
  <c r="K14" i="8"/>
  <c r="K37" i="8"/>
  <c r="K29" i="8"/>
  <c r="K73" i="8"/>
  <c r="K49" i="8"/>
  <c r="K40" i="8"/>
  <c r="K83" i="8"/>
  <c r="K150" i="8"/>
  <c r="K159" i="8"/>
  <c r="K164" i="8"/>
  <c r="K197" i="8"/>
  <c r="K205" i="8"/>
  <c r="K210" i="8"/>
  <c r="K212" i="8"/>
  <c r="K221" i="8"/>
  <c r="O221" i="8"/>
  <c r="J221" i="8"/>
  <c r="K224" i="8"/>
  <c r="K217" i="8"/>
  <c r="K216" i="8"/>
  <c r="K230" i="8"/>
  <c r="K227" i="8"/>
  <c r="K226" i="8"/>
  <c r="K234" i="8"/>
  <c r="K232" i="8"/>
  <c r="K250" i="8"/>
  <c r="K255" i="8"/>
  <c r="K246" i="8"/>
  <c r="K245" i="8"/>
  <c r="K253" i="8"/>
  <c r="K260" i="8"/>
  <c r="O304" i="8"/>
  <c r="J304" i="8"/>
  <c r="E304" i="8"/>
  <c r="N303" i="8"/>
  <c r="M303" i="8"/>
  <c r="L303" i="8"/>
  <c r="K303" i="8"/>
  <c r="N302" i="8"/>
  <c r="M302" i="8"/>
  <c r="L302" i="8"/>
  <c r="K302" i="8"/>
  <c r="O301" i="8"/>
  <c r="L301" i="8"/>
  <c r="N301" i="8"/>
  <c r="M301" i="8"/>
  <c r="K301" i="8"/>
  <c r="N300" i="8"/>
  <c r="M300" i="8"/>
  <c r="L300" i="8"/>
  <c r="K300" i="8"/>
  <c r="N299" i="8"/>
  <c r="M299" i="8"/>
  <c r="L299" i="8"/>
  <c r="K299" i="8"/>
  <c r="K298" i="8"/>
  <c r="O298" i="8"/>
  <c r="J298" i="8"/>
  <c r="P298" i="8"/>
  <c r="J296" i="8"/>
  <c r="P296" i="8"/>
  <c r="E296" i="8"/>
  <c r="J295" i="8"/>
  <c r="E295" i="8"/>
  <c r="O294" i="8"/>
  <c r="J294" i="8"/>
  <c r="E294" i="8"/>
  <c r="P294" i="8"/>
  <c r="O293" i="8"/>
  <c r="J293" i="8"/>
  <c r="P293" i="8"/>
  <c r="O292" i="8"/>
  <c r="J292" i="8"/>
  <c r="P292" i="8"/>
  <c r="O291" i="8"/>
  <c r="J291" i="8"/>
  <c r="P291" i="8"/>
  <c r="O290" i="8"/>
  <c r="J290" i="8"/>
  <c r="E290" i="8"/>
  <c r="P290" i="8"/>
  <c r="E289" i="8"/>
  <c r="P289" i="8"/>
  <c r="O288" i="8"/>
  <c r="J288" i="8"/>
  <c r="E288" i="8"/>
  <c r="P288" i="8"/>
  <c r="O287" i="8"/>
  <c r="J287" i="8"/>
  <c r="E287" i="8"/>
  <c r="P287" i="8"/>
  <c r="O286" i="8"/>
  <c r="O266" i="8"/>
  <c r="O267" i="8"/>
  <c r="O268" i="8"/>
  <c r="O278" i="8"/>
  <c r="J278" i="8"/>
  <c r="O279" i="8"/>
  <c r="J279" i="8"/>
  <c r="O284" i="8"/>
  <c r="J284" i="8"/>
  <c r="O275" i="8"/>
  <c r="O282" i="8"/>
  <c r="O281" i="8"/>
  <c r="J281" i="8"/>
  <c r="O277" i="8"/>
  <c r="J277" i="8"/>
  <c r="N286" i="8"/>
  <c r="M286" i="8"/>
  <c r="L286" i="8"/>
  <c r="J286" i="8"/>
  <c r="I286" i="8"/>
  <c r="E286" i="8"/>
  <c r="P286" i="8"/>
  <c r="E284" i="8"/>
  <c r="O283" i="8"/>
  <c r="J283" i="8"/>
  <c r="E283" i="8"/>
  <c r="N282" i="8"/>
  <c r="M282" i="8"/>
  <c r="L282" i="8"/>
  <c r="I282" i="8"/>
  <c r="E282" i="8"/>
  <c r="E281" i="8"/>
  <c r="E280" i="8"/>
  <c r="P280" i="8"/>
  <c r="E279" i="8"/>
  <c r="E278" i="8"/>
  <c r="E277" i="8"/>
  <c r="O276" i="8"/>
  <c r="J276" i="8"/>
  <c r="P276" i="8"/>
  <c r="E276" i="8"/>
  <c r="J275" i="8"/>
  <c r="E275" i="8"/>
  <c r="E274" i="8"/>
  <c r="O273" i="8"/>
  <c r="J273" i="8"/>
  <c r="E273" i="8"/>
  <c r="O272" i="8"/>
  <c r="J272" i="8"/>
  <c r="E272" i="8"/>
  <c r="O271" i="8"/>
  <c r="J271" i="8"/>
  <c r="E271" i="8"/>
  <c r="O270" i="8"/>
  <c r="J270" i="8"/>
  <c r="P270" i="8"/>
  <c r="E269" i="8"/>
  <c r="P269" i="8"/>
  <c r="N268" i="8"/>
  <c r="M268" i="8"/>
  <c r="M265" i="8"/>
  <c r="M263" i="8"/>
  <c r="L268" i="8"/>
  <c r="I268" i="8"/>
  <c r="E268" i="8"/>
  <c r="J267" i="8"/>
  <c r="P267" i="8"/>
  <c r="E267" i="8"/>
  <c r="H265" i="8"/>
  <c r="H263" i="8"/>
  <c r="K264" i="8"/>
  <c r="O264" i="8"/>
  <c r="F264" i="8"/>
  <c r="E264" i="8"/>
  <c r="O262" i="8"/>
  <c r="J262" i="8"/>
  <c r="P262" i="8"/>
  <c r="E262" i="8"/>
  <c r="O261" i="8"/>
  <c r="J261" i="8"/>
  <c r="J260" i="8"/>
  <c r="E261" i="8"/>
  <c r="N260" i="8"/>
  <c r="N246" i="8"/>
  <c r="N245" i="8"/>
  <c r="M260" i="8"/>
  <c r="L260" i="8"/>
  <c r="I260" i="8"/>
  <c r="O259" i="8"/>
  <c r="J259" i="8"/>
  <c r="F259" i="8"/>
  <c r="E259" i="8"/>
  <c r="O258" i="8"/>
  <c r="J258" i="8"/>
  <c r="I258" i="8"/>
  <c r="O256" i="8"/>
  <c r="J256" i="8"/>
  <c r="P256" i="8"/>
  <c r="E256" i="8"/>
  <c r="N255" i="8"/>
  <c r="M255" i="8"/>
  <c r="M250" i="8"/>
  <c r="M253" i="8"/>
  <c r="L255" i="8"/>
  <c r="J255" i="8"/>
  <c r="O255" i="8"/>
  <c r="I255" i="8"/>
  <c r="E255" i="8"/>
  <c r="O254" i="8"/>
  <c r="J254" i="8"/>
  <c r="E254" i="8"/>
  <c r="P254" i="8"/>
  <c r="N253" i="8"/>
  <c r="L253" i="8"/>
  <c r="O253" i="8"/>
  <c r="I253" i="8"/>
  <c r="E253" i="8"/>
  <c r="O252" i="8"/>
  <c r="J252" i="8"/>
  <c r="P252" i="8"/>
  <c r="E252" i="8"/>
  <c r="O251" i="8"/>
  <c r="J251" i="8"/>
  <c r="E251" i="8"/>
  <c r="N250" i="8"/>
  <c r="L250" i="8"/>
  <c r="O250" i="8"/>
  <c r="I250" i="8"/>
  <c r="E250" i="8"/>
  <c r="O249" i="8"/>
  <c r="J249" i="8"/>
  <c r="E249" i="8"/>
  <c r="O248" i="8"/>
  <c r="J248" i="8"/>
  <c r="E248" i="8"/>
  <c r="P248" i="8"/>
  <c r="O247" i="8"/>
  <c r="J247" i="8"/>
  <c r="I246" i="8"/>
  <c r="I245" i="8"/>
  <c r="H246" i="8"/>
  <c r="G246" i="8"/>
  <c r="G245" i="8"/>
  <c r="H245" i="8"/>
  <c r="O244" i="8"/>
  <c r="J244" i="8"/>
  <c r="E244" i="8"/>
  <c r="P244" i="8"/>
  <c r="O243" i="8"/>
  <c r="J243" i="8"/>
  <c r="P243" i="8"/>
  <c r="E243" i="8"/>
  <c r="O242" i="8"/>
  <c r="J242" i="8"/>
  <c r="I242" i="8"/>
  <c r="E242" i="8"/>
  <c r="O241" i="8"/>
  <c r="J241" i="8"/>
  <c r="E241" i="8"/>
  <c r="O240" i="8"/>
  <c r="J240" i="8"/>
  <c r="E240" i="8"/>
  <c r="P240" i="8"/>
  <c r="O238" i="8"/>
  <c r="J238" i="8"/>
  <c r="E238" i="8"/>
  <c r="O237" i="8"/>
  <c r="O236" i="8"/>
  <c r="E236" i="8"/>
  <c r="O235" i="8"/>
  <c r="J235" i="8"/>
  <c r="N234" i="8"/>
  <c r="N232" i="8"/>
  <c r="M234" i="8"/>
  <c r="M232" i="8"/>
  <c r="L234" i="8"/>
  <c r="H234" i="8"/>
  <c r="N233" i="8"/>
  <c r="M233" i="8"/>
  <c r="L233" i="8"/>
  <c r="K233" i="8"/>
  <c r="L232" i="8"/>
  <c r="H232" i="8"/>
  <c r="E231" i="8"/>
  <c r="P231" i="8"/>
  <c r="O230" i="8"/>
  <c r="N230" i="8"/>
  <c r="M230" i="8"/>
  <c r="M227" i="8"/>
  <c r="M226" i="8"/>
  <c r="L230" i="8"/>
  <c r="J230" i="8"/>
  <c r="I230" i="8"/>
  <c r="I227" i="8"/>
  <c r="I226" i="8"/>
  <c r="E230" i="8"/>
  <c r="P230" i="8"/>
  <c r="O229" i="8"/>
  <c r="J229" i="8"/>
  <c r="E229" i="8"/>
  <c r="O228" i="8"/>
  <c r="J228" i="8"/>
  <c r="E228" i="8"/>
  <c r="P228" i="8"/>
  <c r="P227" i="8"/>
  <c r="N227" i="8"/>
  <c r="N226" i="8"/>
  <c r="L227" i="8"/>
  <c r="H227" i="8"/>
  <c r="H226" i="8"/>
  <c r="G227" i="8"/>
  <c r="G226" i="8"/>
  <c r="F227" i="8"/>
  <c r="L226" i="8"/>
  <c r="F226" i="8"/>
  <c r="J225" i="8"/>
  <c r="E225" i="8"/>
  <c r="E224" i="8"/>
  <c r="J224" i="8"/>
  <c r="O224" i="8"/>
  <c r="N224" i="8"/>
  <c r="M224" i="8"/>
  <c r="L224" i="8"/>
  <c r="I224" i="8"/>
  <c r="H224" i="8"/>
  <c r="G224" i="8"/>
  <c r="E223" i="8"/>
  <c r="P223" i="8"/>
  <c r="O222" i="8"/>
  <c r="J222" i="8"/>
  <c r="E222" i="8"/>
  <c r="P222" i="8"/>
  <c r="F221" i="8"/>
  <c r="E221" i="8"/>
  <c r="P221" i="8"/>
  <c r="F220" i="8"/>
  <c r="E220" i="8"/>
  <c r="P220" i="8"/>
  <c r="E219" i="8"/>
  <c r="P219" i="8"/>
  <c r="O218" i="8"/>
  <c r="J218" i="8"/>
  <c r="P218" i="8"/>
  <c r="E218" i="8"/>
  <c r="O217" i="8"/>
  <c r="J217" i="8"/>
  <c r="E217" i="8"/>
  <c r="E216" i="8"/>
  <c r="J215" i="8"/>
  <c r="E215" i="8"/>
  <c r="J214" i="8"/>
  <c r="E214" i="8"/>
  <c r="P214" i="8"/>
  <c r="O213" i="8"/>
  <c r="J213" i="8"/>
  <c r="E213" i="8"/>
  <c r="E212" i="8"/>
  <c r="N212" i="8"/>
  <c r="M212" i="8"/>
  <c r="L212" i="8"/>
  <c r="I212" i="8"/>
  <c r="H212" i="8"/>
  <c r="J211" i="8"/>
  <c r="E211" i="8"/>
  <c r="P211" i="8"/>
  <c r="O210" i="8"/>
  <c r="N210" i="8"/>
  <c r="M210" i="8"/>
  <c r="L210" i="8"/>
  <c r="J210" i="8"/>
  <c r="I210" i="8"/>
  <c r="H210" i="8"/>
  <c r="E210" i="8"/>
  <c r="P209" i="8"/>
  <c r="J208" i="8"/>
  <c r="E208" i="8"/>
  <c r="J207" i="8"/>
  <c r="E207" i="8"/>
  <c r="P207" i="8"/>
  <c r="J206" i="8"/>
  <c r="E206" i="8"/>
  <c r="O205" i="8"/>
  <c r="N205" i="8"/>
  <c r="M205" i="8"/>
  <c r="L205" i="8"/>
  <c r="J205" i="8"/>
  <c r="I205" i="8"/>
  <c r="H205" i="8"/>
  <c r="G205" i="8"/>
  <c r="F205" i="8"/>
  <c r="E205" i="8"/>
  <c r="P205" i="8"/>
  <c r="J204" i="8"/>
  <c r="E204" i="8"/>
  <c r="O203" i="8"/>
  <c r="E203" i="8"/>
  <c r="E202" i="8"/>
  <c r="O201" i="8"/>
  <c r="J201" i="8"/>
  <c r="E201" i="8"/>
  <c r="O200" i="8"/>
  <c r="J200" i="8"/>
  <c r="P200" i="8"/>
  <c r="E200" i="8"/>
  <c r="F199" i="8"/>
  <c r="E199" i="8"/>
  <c r="P199" i="8"/>
  <c r="E198" i="8"/>
  <c r="P198" i="8"/>
  <c r="N197" i="8"/>
  <c r="M197" i="8"/>
  <c r="L197" i="8"/>
  <c r="I197" i="8"/>
  <c r="H197" i="8"/>
  <c r="G197" i="8"/>
  <c r="F197" i="8"/>
  <c r="E197" i="8"/>
  <c r="E196" i="8"/>
  <c r="P196" i="8"/>
  <c r="F195" i="8"/>
  <c r="E195" i="8"/>
  <c r="P195" i="8"/>
  <c r="E194" i="8"/>
  <c r="P194" i="8"/>
  <c r="F193" i="8"/>
  <c r="E193" i="8"/>
  <c r="P193" i="8"/>
  <c r="F192" i="8"/>
  <c r="E192" i="8"/>
  <c r="P192" i="8"/>
  <c r="E191" i="8"/>
  <c r="P191" i="8"/>
  <c r="F190" i="8"/>
  <c r="E190" i="8"/>
  <c r="P190" i="8"/>
  <c r="E189" i="8"/>
  <c r="P189" i="8"/>
  <c r="E188" i="8"/>
  <c r="P188" i="8"/>
  <c r="F187" i="8"/>
  <c r="F183" i="8"/>
  <c r="E183" i="8"/>
  <c r="P183" i="8"/>
  <c r="E187" i="8"/>
  <c r="P187" i="8"/>
  <c r="F186" i="8"/>
  <c r="E186" i="8"/>
  <c r="P186" i="8"/>
  <c r="E185" i="8"/>
  <c r="P185" i="8"/>
  <c r="J184" i="8"/>
  <c r="E184" i="8"/>
  <c r="P184" i="8"/>
  <c r="J183" i="8"/>
  <c r="J182" i="8"/>
  <c r="E182" i="8"/>
  <c r="P182" i="8"/>
  <c r="J181" i="8"/>
  <c r="P181" i="8"/>
  <c r="F181" i="8"/>
  <c r="E181" i="8"/>
  <c r="J180" i="8"/>
  <c r="P180" i="8"/>
  <c r="F180" i="8"/>
  <c r="E180" i="8"/>
  <c r="J179" i="8"/>
  <c r="P179" i="8"/>
  <c r="E179" i="8"/>
  <c r="J178" i="8"/>
  <c r="F178" i="8"/>
  <c r="E178" i="8"/>
  <c r="J177" i="8"/>
  <c r="E177" i="8"/>
  <c r="P177" i="8"/>
  <c r="J176" i="8"/>
  <c r="P176" i="8"/>
  <c r="F176" i="8"/>
  <c r="E176" i="8"/>
  <c r="J175" i="8"/>
  <c r="P175" i="8"/>
  <c r="E175" i="8"/>
  <c r="J174" i="8"/>
  <c r="F174" i="8"/>
  <c r="E174" i="8"/>
  <c r="P174" i="8"/>
  <c r="J173" i="8"/>
  <c r="E173" i="8"/>
  <c r="P173" i="8"/>
  <c r="J172" i="8"/>
  <c r="F172" i="8"/>
  <c r="E172" i="8"/>
  <c r="P172" i="8"/>
  <c r="J171" i="8"/>
  <c r="E171" i="8"/>
  <c r="J170" i="8"/>
  <c r="F170" i="8"/>
  <c r="E170" i="8"/>
  <c r="P170" i="8"/>
  <c r="J169" i="8"/>
  <c r="E169" i="8"/>
  <c r="P169" i="8"/>
  <c r="J168" i="8"/>
  <c r="F168" i="8"/>
  <c r="E168" i="8"/>
  <c r="P168" i="8"/>
  <c r="J167" i="8"/>
  <c r="E167" i="8"/>
  <c r="J166" i="8"/>
  <c r="P166" i="8"/>
  <c r="F166" i="8"/>
  <c r="E166" i="8"/>
  <c r="J165" i="8"/>
  <c r="P165" i="8"/>
  <c r="E165" i="8"/>
  <c r="O164" i="8"/>
  <c r="L164" i="8"/>
  <c r="J164" i="8"/>
  <c r="N164" i="8"/>
  <c r="M164" i="8"/>
  <c r="I164" i="8"/>
  <c r="E164" i="8"/>
  <c r="P164" i="8"/>
  <c r="H164" i="8"/>
  <c r="G164" i="8"/>
  <c r="F164" i="8"/>
  <c r="J163" i="8"/>
  <c r="E163" i="8"/>
  <c r="P163" i="8"/>
  <c r="J162" i="8"/>
  <c r="E162" i="8"/>
  <c r="P162" i="8"/>
  <c r="J161" i="8"/>
  <c r="P161" i="8"/>
  <c r="E161" i="8"/>
  <c r="J160" i="8"/>
  <c r="E160" i="8"/>
  <c r="O159" i="8"/>
  <c r="N159" i="8"/>
  <c r="N141" i="8"/>
  <c r="N139" i="8"/>
  <c r="M159" i="8"/>
  <c r="L159" i="8"/>
  <c r="L150" i="8"/>
  <c r="L141" i="8"/>
  <c r="L139" i="8"/>
  <c r="I159" i="8"/>
  <c r="H159" i="8"/>
  <c r="G159" i="8"/>
  <c r="F159" i="8"/>
  <c r="O158" i="8"/>
  <c r="L158" i="8"/>
  <c r="J158" i="8"/>
  <c r="N158" i="8"/>
  <c r="M158" i="8"/>
  <c r="K158" i="8"/>
  <c r="I158" i="8"/>
  <c r="H158" i="8"/>
  <c r="G158" i="8"/>
  <c r="F158" i="8"/>
  <c r="E158" i="8"/>
  <c r="J157" i="8"/>
  <c r="E157" i="8"/>
  <c r="P157" i="8"/>
  <c r="J156" i="8"/>
  <c r="P156" i="8"/>
  <c r="F156" i="8"/>
  <c r="E156" i="8"/>
  <c r="J155" i="8"/>
  <c r="P155" i="8"/>
  <c r="E155" i="8"/>
  <c r="J154" i="8"/>
  <c r="F154" i="8"/>
  <c r="E154" i="8"/>
  <c r="P154" i="8"/>
  <c r="J153" i="8"/>
  <c r="E153" i="8"/>
  <c r="P153" i="8"/>
  <c r="J152" i="8"/>
  <c r="F152" i="8"/>
  <c r="E152" i="8"/>
  <c r="P152" i="8"/>
  <c r="J151" i="8"/>
  <c r="E151" i="8"/>
  <c r="O150" i="8"/>
  <c r="J150" i="8"/>
  <c r="N150" i="8"/>
  <c r="M150" i="8"/>
  <c r="I150" i="8"/>
  <c r="H150" i="8"/>
  <c r="G150" i="8"/>
  <c r="F150" i="8"/>
  <c r="E150" i="8"/>
  <c r="J149" i="8"/>
  <c r="P149" i="8"/>
  <c r="E149" i="8"/>
  <c r="J148" i="8"/>
  <c r="E148" i="8"/>
  <c r="P148" i="8"/>
  <c r="J147" i="8"/>
  <c r="F147" i="8"/>
  <c r="E147" i="8"/>
  <c r="P147" i="8"/>
  <c r="J146" i="8"/>
  <c r="E146" i="8"/>
  <c r="P146" i="8"/>
  <c r="J145" i="8"/>
  <c r="P145" i="8"/>
  <c r="F145" i="8"/>
  <c r="E145" i="8"/>
  <c r="J144" i="8"/>
  <c r="E144" i="8"/>
  <c r="O143" i="8"/>
  <c r="N143" i="8"/>
  <c r="I143" i="8"/>
  <c r="H143" i="8"/>
  <c r="G143" i="8"/>
  <c r="F143" i="8"/>
  <c r="E143" i="8"/>
  <c r="O142" i="8"/>
  <c r="J142" i="8"/>
  <c r="E142" i="8"/>
  <c r="I141" i="8"/>
  <c r="I139" i="8"/>
  <c r="H141" i="8"/>
  <c r="H139" i="8"/>
  <c r="G141" i="8"/>
  <c r="G139" i="8"/>
  <c r="F141" i="8"/>
  <c r="E141" i="8"/>
  <c r="F140" i="8"/>
  <c r="O138" i="8"/>
  <c r="J138" i="8"/>
  <c r="E138" i="8"/>
  <c r="P138" i="8"/>
  <c r="O137" i="8"/>
  <c r="J137" i="8"/>
  <c r="E137" i="8"/>
  <c r="O136" i="8"/>
  <c r="J136" i="8"/>
  <c r="P136" i="8"/>
  <c r="E136" i="8"/>
  <c r="O135" i="8"/>
  <c r="O86" i="8"/>
  <c r="J86" i="8"/>
  <c r="E86" i="8"/>
  <c r="O134" i="8"/>
  <c r="J134" i="8"/>
  <c r="E134" i="8"/>
  <c r="E133" i="8"/>
  <c r="P133" i="8"/>
  <c r="P134" i="8"/>
  <c r="N133" i="8"/>
  <c r="M133" i="8"/>
  <c r="I133" i="8"/>
  <c r="P132" i="8"/>
  <c r="O131" i="8"/>
  <c r="J131" i="8"/>
  <c r="P131" i="8"/>
  <c r="E131" i="8"/>
  <c r="O130" i="8"/>
  <c r="J130" i="8"/>
  <c r="E130" i="8"/>
  <c r="P130" i="8"/>
  <c r="O129" i="8"/>
  <c r="J129" i="8"/>
  <c r="O128" i="8"/>
  <c r="J128" i="8"/>
  <c r="E128" i="8"/>
  <c r="O127" i="8"/>
  <c r="J127" i="8"/>
  <c r="I127" i="8"/>
  <c r="E127" i="8"/>
  <c r="P126" i="8"/>
  <c r="E125" i="8"/>
  <c r="P125" i="8"/>
  <c r="O124" i="8"/>
  <c r="J124" i="8"/>
  <c r="E124" i="8"/>
  <c r="E123" i="8"/>
  <c r="P123" i="8"/>
  <c r="O120" i="8"/>
  <c r="J120" i="8"/>
  <c r="E120" i="8"/>
  <c r="O119" i="8"/>
  <c r="J119" i="8"/>
  <c r="P119" i="8"/>
  <c r="E119" i="8"/>
  <c r="O118" i="8"/>
  <c r="J118" i="8"/>
  <c r="N118" i="8"/>
  <c r="I118" i="8"/>
  <c r="E118" i="8"/>
  <c r="O117" i="8"/>
  <c r="J117" i="8"/>
  <c r="P117" i="8"/>
  <c r="E117" i="8"/>
  <c r="O116" i="8"/>
  <c r="J116" i="8"/>
  <c r="E116" i="8"/>
  <c r="O115" i="8"/>
  <c r="J115" i="8"/>
  <c r="E115" i="8"/>
  <c r="O114" i="8"/>
  <c r="J114" i="8"/>
  <c r="E114" i="8"/>
  <c r="O113" i="8"/>
  <c r="J113" i="8"/>
  <c r="E113" i="8"/>
  <c r="O112" i="8"/>
  <c r="J112" i="8"/>
  <c r="E112" i="8"/>
  <c r="O111" i="8"/>
  <c r="J111" i="8"/>
  <c r="E111" i="8"/>
  <c r="P111" i="8"/>
  <c r="P92" i="8"/>
  <c r="O110" i="8"/>
  <c r="N110" i="8"/>
  <c r="J110" i="8"/>
  <c r="I110" i="8"/>
  <c r="E110" i="8"/>
  <c r="P110" i="8"/>
  <c r="E109" i="8"/>
  <c r="P109" i="8"/>
  <c r="O108" i="8"/>
  <c r="J108" i="8"/>
  <c r="E108" i="8"/>
  <c r="P108" i="8"/>
  <c r="O107" i="8"/>
  <c r="J107" i="8"/>
  <c r="E107" i="8"/>
  <c r="P107" i="8"/>
  <c r="O106" i="8"/>
  <c r="J106" i="8"/>
  <c r="E106" i="8"/>
  <c r="P106" i="8"/>
  <c r="E105" i="8"/>
  <c r="P105" i="8"/>
  <c r="O104" i="8"/>
  <c r="J104" i="8"/>
  <c r="P104" i="8"/>
  <c r="O103" i="8"/>
  <c r="J103" i="8"/>
  <c r="E103" i="8"/>
  <c r="O102" i="8"/>
  <c r="J102" i="8"/>
  <c r="P102" i="8"/>
  <c r="E102" i="8"/>
  <c r="O101" i="8"/>
  <c r="J101" i="8"/>
  <c r="E101" i="8"/>
  <c r="O100" i="8"/>
  <c r="J100" i="8"/>
  <c r="E100" i="8"/>
  <c r="E99" i="8"/>
  <c r="O98" i="8"/>
  <c r="J98" i="8"/>
  <c r="P98" i="8"/>
  <c r="E98" i="8"/>
  <c r="O97" i="8"/>
  <c r="J97" i="8"/>
  <c r="P97" i="8"/>
  <c r="O96" i="8"/>
  <c r="J96" i="8"/>
  <c r="E96" i="8"/>
  <c r="O95" i="8"/>
  <c r="J95" i="8"/>
  <c r="E95" i="8"/>
  <c r="J94" i="8"/>
  <c r="J92" i="8"/>
  <c r="J83" i="8"/>
  <c r="E94" i="8"/>
  <c r="O93" i="8"/>
  <c r="J93" i="8"/>
  <c r="E93" i="8"/>
  <c r="P93" i="8"/>
  <c r="M92" i="8"/>
  <c r="M83" i="8"/>
  <c r="L92" i="8"/>
  <c r="L83" i="8"/>
  <c r="H92" i="8"/>
  <c r="H83" i="8"/>
  <c r="K91" i="8"/>
  <c r="O91" i="8"/>
  <c r="J91" i="8"/>
  <c r="P91" i="8"/>
  <c r="J90" i="8"/>
  <c r="F90" i="8"/>
  <c r="E90" i="8"/>
  <c r="P90" i="8"/>
  <c r="K87" i="8"/>
  <c r="O87" i="8"/>
  <c r="I87" i="8"/>
  <c r="H87" i="8"/>
  <c r="G87" i="8"/>
  <c r="F87" i="8"/>
  <c r="K86" i="8"/>
  <c r="K85" i="8"/>
  <c r="O85" i="8"/>
  <c r="J85" i="8"/>
  <c r="P85" i="8"/>
  <c r="F85" i="8"/>
  <c r="E85" i="8"/>
  <c r="N84" i="8"/>
  <c r="M84" i="8"/>
  <c r="L84" i="8"/>
  <c r="K84" i="8"/>
  <c r="I84" i="8"/>
  <c r="H84" i="8"/>
  <c r="G84" i="8"/>
  <c r="F84" i="8"/>
  <c r="E84" i="8"/>
  <c r="O82" i="8"/>
  <c r="J82" i="8"/>
  <c r="P82" i="8"/>
  <c r="O81" i="8"/>
  <c r="J81" i="8"/>
  <c r="P81" i="8"/>
  <c r="E81" i="8"/>
  <c r="O80" i="8"/>
  <c r="J80" i="8"/>
  <c r="P80" i="8"/>
  <c r="E80" i="8"/>
  <c r="O79" i="8"/>
  <c r="J79" i="8"/>
  <c r="P79" i="8"/>
  <c r="E79" i="8"/>
  <c r="O78" i="8"/>
  <c r="J78" i="8"/>
  <c r="O77" i="8"/>
  <c r="J77" i="8"/>
  <c r="P77" i="8"/>
  <c r="E77" i="8"/>
  <c r="O76" i="8"/>
  <c r="J76" i="8"/>
  <c r="P76" i="8"/>
  <c r="O74" i="8"/>
  <c r="J74" i="8"/>
  <c r="E74" i="8"/>
  <c r="N73" i="8"/>
  <c r="M73" i="8"/>
  <c r="L73" i="8"/>
  <c r="L49" i="8"/>
  <c r="O73" i="8"/>
  <c r="E73" i="8"/>
  <c r="O72" i="8"/>
  <c r="J72" i="8"/>
  <c r="E72" i="8"/>
  <c r="O71" i="8"/>
  <c r="J71" i="8"/>
  <c r="E71" i="8"/>
  <c r="O70" i="8"/>
  <c r="J70" i="8"/>
  <c r="E70" i="8"/>
  <c r="O69" i="8"/>
  <c r="J69" i="8"/>
  <c r="P69" i="8"/>
  <c r="O68" i="8"/>
  <c r="J68" i="8"/>
  <c r="E68" i="8"/>
  <c r="O67" i="8"/>
  <c r="E67" i="8"/>
  <c r="O66" i="8"/>
  <c r="J66" i="8"/>
  <c r="P66" i="8"/>
  <c r="O65" i="8"/>
  <c r="J65" i="8"/>
  <c r="P65" i="8"/>
  <c r="E65" i="8"/>
  <c r="O64" i="8"/>
  <c r="J64" i="8"/>
  <c r="E64" i="8"/>
  <c r="O63" i="8"/>
  <c r="J63" i="8"/>
  <c r="E63" i="8"/>
  <c r="O62" i="8"/>
  <c r="J62" i="8"/>
  <c r="E62" i="8"/>
  <c r="O61" i="8"/>
  <c r="J61" i="8"/>
  <c r="P61" i="8"/>
  <c r="E61" i="8"/>
  <c r="O60" i="8"/>
  <c r="J60" i="8"/>
  <c r="E60" i="8"/>
  <c r="O59" i="8"/>
  <c r="J59" i="8"/>
  <c r="E59" i="8"/>
  <c r="P59" i="8"/>
  <c r="O58" i="8"/>
  <c r="J58" i="8"/>
  <c r="E58" i="8"/>
  <c r="O57" i="8"/>
  <c r="J57" i="8"/>
  <c r="E57" i="8"/>
  <c r="O56" i="8"/>
  <c r="J56" i="8"/>
  <c r="E56" i="8"/>
  <c r="P56" i="8"/>
  <c r="J55" i="8"/>
  <c r="E55" i="8"/>
  <c r="O53" i="8"/>
  <c r="J53" i="8"/>
  <c r="P53" i="8"/>
  <c r="E53" i="8"/>
  <c r="O52" i="8"/>
  <c r="J52" i="8"/>
  <c r="E52" i="8"/>
  <c r="P52" i="8"/>
  <c r="O51" i="8"/>
  <c r="J51" i="8"/>
  <c r="O50" i="8"/>
  <c r="J50" i="8"/>
  <c r="J49" i="8"/>
  <c r="J40" i="8"/>
  <c r="E50" i="8"/>
  <c r="N49" i="8"/>
  <c r="N40" i="8"/>
  <c r="M49" i="8"/>
  <c r="M40" i="8"/>
  <c r="L40" i="8"/>
  <c r="I49" i="8"/>
  <c r="H49" i="8"/>
  <c r="H40" i="8"/>
  <c r="N48" i="8"/>
  <c r="M48" i="8"/>
  <c r="L48" i="8"/>
  <c r="K48" i="8"/>
  <c r="O48" i="8"/>
  <c r="J48" i="8"/>
  <c r="I48" i="8"/>
  <c r="H48" i="8"/>
  <c r="G48" i="8"/>
  <c r="F48" i="8"/>
  <c r="E48" i="8"/>
  <c r="N47" i="8"/>
  <c r="M47" i="8"/>
  <c r="L47" i="8"/>
  <c r="K47" i="8"/>
  <c r="I47" i="8"/>
  <c r="H47" i="8"/>
  <c r="G47" i="8"/>
  <c r="F47" i="8"/>
  <c r="O46" i="8"/>
  <c r="K46" i="8"/>
  <c r="J46" i="8"/>
  <c r="I46" i="8"/>
  <c r="H46" i="8"/>
  <c r="G46" i="8"/>
  <c r="F46" i="8"/>
  <c r="F45" i="8"/>
  <c r="E45" i="8"/>
  <c r="P45" i="8"/>
  <c r="F44" i="8"/>
  <c r="E44" i="8"/>
  <c r="P44" i="8"/>
  <c r="O43" i="8"/>
  <c r="J43" i="8"/>
  <c r="P43" i="8"/>
  <c r="E43" i="8"/>
  <c r="N42" i="8"/>
  <c r="M42" i="8"/>
  <c r="L42" i="8"/>
  <c r="O42" i="8"/>
  <c r="F42" i="8"/>
  <c r="E42" i="8"/>
  <c r="P42" i="8"/>
  <c r="G42" i="8"/>
  <c r="N41" i="8"/>
  <c r="M41" i="8"/>
  <c r="L41" i="8"/>
  <c r="J41" i="8"/>
  <c r="H41" i="8"/>
  <c r="F41" i="8"/>
  <c r="E41" i="8"/>
  <c r="P41" i="8"/>
  <c r="O39" i="8"/>
  <c r="J39" i="8"/>
  <c r="E39" i="8"/>
  <c r="P39" i="8"/>
  <c r="E38" i="8"/>
  <c r="N37" i="8"/>
  <c r="M37" i="8"/>
  <c r="J37" i="8"/>
  <c r="I37" i="8"/>
  <c r="H37" i="8"/>
  <c r="F37" i="8"/>
  <c r="E37" i="8"/>
  <c r="J36" i="8"/>
  <c r="P36" i="8"/>
  <c r="O35" i="8"/>
  <c r="N35" i="8"/>
  <c r="M35" i="8"/>
  <c r="L35" i="8"/>
  <c r="J35" i="8"/>
  <c r="P35" i="8"/>
  <c r="O34" i="8"/>
  <c r="J34" i="8"/>
  <c r="P34" i="8"/>
  <c r="E34" i="8"/>
  <c r="O33" i="8"/>
  <c r="J33" i="8"/>
  <c r="P33" i="8"/>
  <c r="E33" i="8"/>
  <c r="O32" i="8"/>
  <c r="J32" i="8"/>
  <c r="E32" i="8"/>
  <c r="O31" i="8"/>
  <c r="J31" i="8"/>
  <c r="P31" i="8"/>
  <c r="E31" i="8"/>
  <c r="O30" i="8"/>
  <c r="J30" i="8"/>
  <c r="E30" i="8"/>
  <c r="P30" i="8"/>
  <c r="N29" i="8"/>
  <c r="M29" i="8"/>
  <c r="L29" i="8"/>
  <c r="I29" i="8"/>
  <c r="E29" i="8"/>
  <c r="P29" i="8"/>
  <c r="H29" i="8"/>
  <c r="F29" i="8"/>
  <c r="O28" i="8"/>
  <c r="J28" i="8"/>
  <c r="E28" i="8"/>
  <c r="O27" i="8"/>
  <c r="J27" i="8"/>
  <c r="E27" i="8"/>
  <c r="O26" i="8"/>
  <c r="J26" i="8"/>
  <c r="P26" i="8"/>
  <c r="E26" i="8"/>
  <c r="P25" i="8"/>
  <c r="O24" i="8"/>
  <c r="J24" i="8"/>
  <c r="P24" i="8"/>
  <c r="E24" i="8"/>
  <c r="O23" i="8"/>
  <c r="J23" i="8"/>
  <c r="J22" i="8"/>
  <c r="P22" i="8"/>
  <c r="E23" i="8"/>
  <c r="N22" i="8"/>
  <c r="N20" i="8"/>
  <c r="M22" i="8"/>
  <c r="L22" i="8"/>
  <c r="L16" i="8"/>
  <c r="L20" i="8"/>
  <c r="L14" i="8"/>
  <c r="O22" i="8"/>
  <c r="I22" i="8"/>
  <c r="E22" i="8"/>
  <c r="H22" i="8"/>
  <c r="O21" i="8"/>
  <c r="J21" i="8"/>
  <c r="E21" i="8"/>
  <c r="M20" i="8"/>
  <c r="I20" i="8"/>
  <c r="I16" i="8"/>
  <c r="I14" i="8"/>
  <c r="H20" i="8"/>
  <c r="F20" i="8"/>
  <c r="F16" i="8"/>
  <c r="F14" i="8"/>
  <c r="J19" i="8"/>
  <c r="E19" i="8"/>
  <c r="P19" i="8"/>
  <c r="J18" i="8"/>
  <c r="H18" i="8"/>
  <c r="F18" i="8"/>
  <c r="E18" i="8"/>
  <c r="P18" i="8"/>
  <c r="O17" i="8"/>
  <c r="J17" i="8"/>
  <c r="E17" i="8"/>
  <c r="P17" i="8"/>
  <c r="P15" i="8"/>
  <c r="F15" i="8"/>
  <c r="E15" i="8"/>
  <c r="P225" i="8"/>
  <c r="E258" i="8"/>
  <c r="P258" i="8"/>
  <c r="J87" i="8"/>
  <c r="O227" i="8"/>
  <c r="O226" i="8"/>
  <c r="P229" i="8"/>
  <c r="P358" i="8"/>
  <c r="O197" i="8"/>
  <c r="O212" i="8"/>
  <c r="O260" i="8"/>
  <c r="O360" i="8"/>
  <c r="O354" i="8"/>
  <c r="O352" i="8"/>
  <c r="P344" i="8"/>
  <c r="J357" i="8"/>
  <c r="J360" i="8"/>
  <c r="P360" i="8"/>
  <c r="P350" i="8"/>
  <c r="J303" i="8"/>
  <c r="P303" i="8"/>
  <c r="O303" i="8"/>
  <c r="J227" i="8"/>
  <c r="J226" i="8"/>
  <c r="P128" i="8"/>
  <c r="P158" i="8"/>
  <c r="J212" i="8"/>
  <c r="P212" i="8"/>
  <c r="P213" i="8"/>
  <c r="P217" i="8"/>
  <c r="P249" i="8"/>
  <c r="J354" i="8"/>
  <c r="J352" i="8"/>
  <c r="J253" i="8"/>
  <c r="P253" i="8"/>
  <c r="I234" i="8"/>
  <c r="I232" i="8"/>
  <c r="J335" i="8"/>
  <c r="J300" i="8"/>
  <c r="P300" i="8"/>
  <c r="O300" i="8"/>
  <c r="J370" i="8"/>
  <c r="P370" i="8"/>
  <c r="E368" i="8"/>
  <c r="P368" i="8"/>
  <c r="F367" i="8"/>
  <c r="F366" i="8"/>
  <c r="F92" i="8"/>
  <c r="F83" i="8"/>
  <c r="P365" i="8"/>
  <c r="J197" i="8"/>
  <c r="P197" i="8"/>
  <c r="E87" i="8"/>
  <c r="P87" i="8"/>
  <c r="E159" i="8"/>
  <c r="P261" i="8"/>
  <c r="E260" i="8"/>
  <c r="P260" i="8"/>
  <c r="P359" i="8"/>
  <c r="P335" i="8"/>
  <c r="J133" i="8"/>
  <c r="O133" i="8"/>
  <c r="E140" i="8"/>
  <c r="P140" i="8"/>
  <c r="J264" i="8"/>
  <c r="P264" i="8"/>
  <c r="P271" i="8"/>
  <c r="P272" i="8"/>
  <c r="P48" i="8"/>
  <c r="O29" i="8"/>
  <c r="P74" i="8"/>
  <c r="P151" i="8"/>
  <c r="P167" i="8"/>
  <c r="P171" i="8"/>
  <c r="P201" i="8"/>
  <c r="P345" i="8"/>
  <c r="P346" i="8"/>
  <c r="J42" i="8"/>
  <c r="N92" i="8"/>
  <c r="N83" i="8"/>
  <c r="P178" i="8"/>
  <c r="J203" i="8"/>
  <c r="P203" i="8"/>
  <c r="O202" i="8"/>
  <c r="J202" i="8"/>
  <c r="P202" i="8"/>
  <c r="P242" i="8"/>
  <c r="P279" i="8"/>
  <c r="J268" i="8"/>
  <c r="P341" i="8"/>
  <c r="P206" i="8"/>
  <c r="P210" i="8"/>
  <c r="P224" i="8"/>
  <c r="N265" i="8"/>
  <c r="N263" i="8"/>
  <c r="P275" i="8"/>
  <c r="P295" i="8"/>
  <c r="J301" i="8"/>
  <c r="P301" i="8"/>
  <c r="P330" i="8"/>
  <c r="P332" i="8"/>
  <c r="P347" i="8"/>
  <c r="P349" i="8"/>
  <c r="G16" i="8"/>
  <c r="G14" i="8"/>
  <c r="J322" i="8"/>
  <c r="J73" i="8"/>
  <c r="P73" i="8"/>
  <c r="O302" i="8"/>
  <c r="P339" i="8"/>
  <c r="P340" i="8"/>
  <c r="P337" i="8"/>
  <c r="G305" i="8"/>
  <c r="G297" i="8"/>
  <c r="E315" i="8"/>
  <c r="F305" i="8"/>
  <c r="F297" i="8"/>
  <c r="P304" i="8"/>
  <c r="P343" i="8"/>
  <c r="P336" i="8"/>
  <c r="P338" i="8"/>
  <c r="P251" i="8"/>
  <c r="P255" i="8"/>
  <c r="P259" i="8"/>
  <c r="J266" i="8"/>
  <c r="J265" i="8"/>
  <c r="J263" i="8"/>
  <c r="P268" i="8"/>
  <c r="P150" i="8"/>
  <c r="P204" i="8"/>
  <c r="P208" i="8"/>
  <c r="P215" i="8"/>
  <c r="P238" i="8"/>
  <c r="P277" i="8"/>
  <c r="P315" i="8"/>
  <c r="P316" i="8"/>
  <c r="P326" i="8"/>
  <c r="P54" i="8"/>
  <c r="P342" i="8"/>
  <c r="J302" i="8"/>
  <c r="P302" i="8"/>
  <c r="P333" i="8"/>
  <c r="L297" i="8"/>
  <c r="P307" i="8"/>
  <c r="I305" i="8"/>
  <c r="I297" i="8"/>
  <c r="P317" i="8"/>
  <c r="O329" i="8"/>
  <c r="J329" i="8"/>
  <c r="P329" i="8"/>
  <c r="O331" i="8"/>
  <c r="J331" i="8"/>
  <c r="P331" i="8"/>
  <c r="P306" i="8"/>
  <c r="J236" i="8"/>
  <c r="P236" i="8"/>
  <c r="O234" i="8"/>
  <c r="O232" i="8"/>
  <c r="O246" i="8"/>
  <c r="O245" i="8"/>
  <c r="P32" i="8"/>
  <c r="P96" i="8"/>
  <c r="P100" i="8"/>
  <c r="P101" i="8"/>
  <c r="P103" i="8"/>
  <c r="P118" i="8"/>
  <c r="P120" i="8"/>
  <c r="P281" i="8"/>
  <c r="P284" i="8"/>
  <c r="P129" i="8"/>
  <c r="J282" i="8"/>
  <c r="P282" i="8"/>
  <c r="J367" i="8"/>
  <c r="J366" i="8"/>
  <c r="P372" i="8"/>
  <c r="P367" i="8"/>
  <c r="E367" i="8"/>
  <c r="E366" i="8"/>
  <c r="P366" i="8"/>
  <c r="O367" i="8"/>
  <c r="O366" i="8"/>
  <c r="P241" i="8"/>
  <c r="P142" i="8"/>
  <c r="F139" i="8"/>
  <c r="P71" i="8"/>
  <c r="P72" i="8"/>
  <c r="P58" i="8"/>
  <c r="P60" i="8"/>
  <c r="P23" i="8"/>
  <c r="P21" i="8"/>
  <c r="P57" i="8"/>
  <c r="J84" i="8"/>
  <c r="P84" i="8"/>
  <c r="P95" i="8"/>
  <c r="P112" i="8"/>
  <c r="P113" i="8"/>
  <c r="P114" i="8"/>
  <c r="P115" i="8"/>
  <c r="P116" i="8"/>
  <c r="O84" i="8"/>
  <c r="O20" i="8"/>
  <c r="J20" i="8"/>
  <c r="E46" i="8"/>
  <c r="P46" i="8"/>
  <c r="P55" i="8"/>
  <c r="P70" i="8"/>
  <c r="P127" i="8"/>
  <c r="P68" i="8"/>
  <c r="P51" i="8"/>
  <c r="P63" i="8"/>
  <c r="P62" i="8"/>
  <c r="P94" i="8"/>
  <c r="P37" i="8"/>
  <c r="P278" i="8"/>
  <c r="P64" i="8"/>
  <c r="E305" i="8"/>
  <c r="E297" i="8"/>
  <c r="E139" i="8"/>
  <c r="O38" i="8"/>
  <c r="J38" i="8"/>
  <c r="P38" i="8"/>
  <c r="J29" i="8"/>
  <c r="P322" i="8"/>
  <c r="K265" i="8"/>
  <c r="K263" i="8"/>
  <c r="O265" i="8"/>
  <c r="O263" i="8"/>
  <c r="J274" i="8"/>
  <c r="P274" i="8"/>
  <c r="J16" i="8"/>
  <c r="J14" i="8"/>
  <c r="G373" i="8"/>
  <c r="P27" i="8"/>
  <c r="O216" i="8"/>
  <c r="J216" i="8"/>
  <c r="P216" i="8"/>
  <c r="K141" i="8"/>
  <c r="K139" i="8"/>
  <c r="J234" i="8"/>
  <c r="J232" i="8"/>
  <c r="P50" i="8"/>
  <c r="E92" i="8"/>
  <c r="E83" i="8"/>
  <c r="P83" i="8"/>
  <c r="O141" i="8"/>
  <c r="O139" i="8"/>
  <c r="I265" i="8"/>
  <c r="I263" i="8"/>
  <c r="E47" i="8"/>
  <c r="O49" i="8"/>
  <c r="O40" i="8"/>
  <c r="E227" i="8"/>
  <c r="E226" i="8"/>
  <c r="P226" i="8"/>
  <c r="M16" i="8"/>
  <c r="M14" i="8"/>
  <c r="J143" i="8"/>
  <c r="P144" i="8"/>
  <c r="M141" i="8"/>
  <c r="M139" i="8"/>
  <c r="O16" i="8"/>
  <c r="O14" i="8"/>
  <c r="E16" i="8"/>
  <c r="E14" i="8"/>
  <c r="J135" i="8"/>
  <c r="P135" i="8"/>
  <c r="E20" i="8"/>
  <c r="P20" i="8"/>
  <c r="P16" i="8"/>
  <c r="P14" i="8"/>
  <c r="N16" i="8"/>
  <c r="N14" i="8"/>
  <c r="N373" i="8"/>
  <c r="J67" i="8"/>
  <c r="J47" i="8"/>
  <c r="O47" i="8"/>
  <c r="O92" i="8"/>
  <c r="O83" i="8"/>
  <c r="P124" i="8"/>
  <c r="J237" i="8"/>
  <c r="O233" i="8"/>
  <c r="F234" i="8"/>
  <c r="F232" i="8"/>
  <c r="E235" i="8"/>
  <c r="E78" i="8"/>
  <c r="F49" i="8"/>
  <c r="F40" i="8"/>
  <c r="F373" i="8"/>
  <c r="P357" i="8"/>
  <c r="H16" i="8"/>
  <c r="H14" i="8"/>
  <c r="H373" i="8"/>
  <c r="P28" i="8"/>
  <c r="I92" i="8"/>
  <c r="I83" i="8"/>
  <c r="I373" i="8"/>
  <c r="P86" i="8"/>
  <c r="P137" i="8"/>
  <c r="J159" i="8"/>
  <c r="P160" i="8"/>
  <c r="P159" i="8"/>
  <c r="L246" i="8"/>
  <c r="L245" i="8"/>
  <c r="J250" i="8"/>
  <c r="F246" i="8"/>
  <c r="F245" i="8"/>
  <c r="E247" i="8"/>
  <c r="P122" i="8"/>
  <c r="E89" i="8"/>
  <c r="K305" i="8"/>
  <c r="K297" i="8"/>
  <c r="O308" i="8"/>
  <c r="L265" i="8"/>
  <c r="L263" i="8"/>
  <c r="P273" i="8"/>
  <c r="J324" i="8"/>
  <c r="O299" i="8"/>
  <c r="P328" i="8"/>
  <c r="F354" i="8"/>
  <c r="F352" i="8"/>
  <c r="E355" i="8"/>
  <c r="O89" i="8"/>
  <c r="J99" i="8"/>
  <c r="M246" i="8"/>
  <c r="M245" i="8"/>
  <c r="J323" i="8"/>
  <c r="P323" i="8"/>
  <c r="F265" i="8"/>
  <c r="F263" i="8"/>
  <c r="E266" i="8"/>
  <c r="J334" i="8"/>
  <c r="P334" i="8"/>
  <c r="J141" i="8"/>
  <c r="P235" i="8"/>
  <c r="E234" i="8"/>
  <c r="P143" i="8"/>
  <c r="P355" i="8"/>
  <c r="P354" i="8"/>
  <c r="E354" i="8"/>
  <c r="E352" i="8"/>
  <c r="P352" i="8"/>
  <c r="J299" i="8"/>
  <c r="P299" i="8"/>
  <c r="P324" i="8"/>
  <c r="P89" i="8"/>
  <c r="J246" i="8"/>
  <c r="J245" i="8"/>
  <c r="P250" i="8"/>
  <c r="E265" i="8"/>
  <c r="E263" i="8"/>
  <c r="P263" i="8"/>
  <c r="P266" i="8"/>
  <c r="P265" i="8"/>
  <c r="J89" i="8"/>
  <c r="P99" i="8"/>
  <c r="L373" i="8"/>
  <c r="P67" i="8"/>
  <c r="P47" i="8"/>
  <c r="P78" i="8"/>
  <c r="P49" i="8"/>
  <c r="P40" i="8"/>
  <c r="E49" i="8"/>
  <c r="E40" i="8"/>
  <c r="J233" i="8"/>
  <c r="P237" i="8"/>
  <c r="P233" i="8"/>
  <c r="K373" i="8"/>
  <c r="K379" i="8"/>
  <c r="K381" i="8"/>
  <c r="K383" i="8"/>
  <c r="J308" i="8"/>
  <c r="O305" i="8"/>
  <c r="O297" i="8"/>
  <c r="O373" i="8"/>
  <c r="E246" i="8"/>
  <c r="E245" i="8"/>
  <c r="P247" i="8"/>
  <c r="P246" i="8"/>
  <c r="P245" i="8"/>
  <c r="M373" i="8"/>
  <c r="P234" i="8"/>
  <c r="E232" i="8"/>
  <c r="P232" i="8"/>
  <c r="J139" i="8"/>
  <c r="P141" i="8"/>
  <c r="P139" i="8"/>
  <c r="P373" i="8"/>
  <c r="P308" i="8"/>
  <c r="P305" i="8"/>
  <c r="J305" i="8"/>
  <c r="J297" i="8"/>
  <c r="P297" i="8"/>
  <c r="P383" i="8"/>
  <c r="P379" i="8"/>
  <c r="P381" i="8"/>
  <c r="J373" i="8"/>
  <c r="J379" i="8"/>
  <c r="J381" i="8"/>
  <c r="J383" i="8"/>
  <c r="E373" i="8"/>
  <c r="E379" i="8"/>
  <c r="E381" i="8"/>
  <c r="E383" i="8"/>
</calcChain>
</file>

<file path=xl/sharedStrings.xml><?xml version="1.0" encoding="utf-8"?>
<sst xmlns="http://schemas.openxmlformats.org/spreadsheetml/2006/main" count="980" uniqueCount="643">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</sst>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3"/>
  <sheetViews>
    <sheetView tabSelected="1" topLeftCell="A9" zoomScaleNormal="100" zoomScaleSheetLayoutView="100" workbookViewId="0">
      <pane xSplit="4" ySplit="5" topLeftCell="E344" activePane="bottomRight" state="frozen"/>
      <selection activeCell="A9" sqref="A9"/>
      <selection pane="topRight" activeCell="E9" sqref="E9"/>
      <selection pane="bottomLeft" activeCell="A14" sqref="A14"/>
      <selection pane="bottomRight" activeCell="D47" sqref="D47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9" width="11" bestFit="1" customWidth="1"/>
  </cols>
  <sheetData>
    <row r="1" spans="1:21" x14ac:dyDescent="0.2">
      <c r="N1" s="17" t="s">
        <v>565</v>
      </c>
      <c r="P1" s="8"/>
    </row>
    <row r="2" spans="1:21" ht="24" customHeight="1" x14ac:dyDescent="0.2">
      <c r="C2" s="3"/>
      <c r="N2" s="206" t="s">
        <v>99</v>
      </c>
      <c r="O2" s="206"/>
      <c r="P2" s="206"/>
    </row>
    <row r="3" spans="1:21" x14ac:dyDescent="0.2">
      <c r="C3" s="4"/>
      <c r="N3" s="16" t="s">
        <v>566</v>
      </c>
      <c r="P3" s="15"/>
    </row>
    <row r="4" spans="1:21" ht="38.25" customHeight="1" x14ac:dyDescent="0.2">
      <c r="C4" s="4"/>
      <c r="N4" s="206"/>
      <c r="O4" s="206"/>
      <c r="P4" s="206"/>
    </row>
    <row r="5" spans="1:21" ht="17.25" x14ac:dyDescent="0.25">
      <c r="C5" s="207" t="s">
        <v>622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</row>
    <row r="6" spans="1:21" ht="17.25" x14ac:dyDescent="0.25">
      <c r="A6" s="188" t="s">
        <v>624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</row>
    <row r="7" spans="1:21" x14ac:dyDescent="0.2">
      <c r="A7" s="189" t="s">
        <v>625</v>
      </c>
    </row>
    <row r="8" spans="1:21" x14ac:dyDescent="0.2">
      <c r="C8" s="5"/>
      <c r="P8" s="187" t="s">
        <v>623</v>
      </c>
    </row>
    <row r="9" spans="1:21" ht="15" x14ac:dyDescent="0.25">
      <c r="A9" s="211" t="s">
        <v>568</v>
      </c>
      <c r="B9" s="212" t="s">
        <v>569</v>
      </c>
      <c r="C9" s="213" t="s">
        <v>570</v>
      </c>
      <c r="D9" s="214" t="s">
        <v>571</v>
      </c>
      <c r="E9" s="209" t="s">
        <v>113</v>
      </c>
      <c r="F9" s="209"/>
      <c r="G9" s="209"/>
      <c r="H9" s="209"/>
      <c r="I9" s="209"/>
      <c r="J9" s="209" t="s">
        <v>114</v>
      </c>
      <c r="K9" s="209"/>
      <c r="L9" s="209"/>
      <c r="M9" s="209"/>
      <c r="N9" s="209"/>
      <c r="O9" s="209"/>
      <c r="P9" s="209" t="s">
        <v>115</v>
      </c>
    </row>
    <row r="10" spans="1:21" ht="22.5" customHeight="1" x14ac:dyDescent="0.2">
      <c r="A10" s="211"/>
      <c r="B10" s="212"/>
      <c r="C10" s="213"/>
      <c r="D10" s="214"/>
      <c r="E10" s="208" t="s">
        <v>572</v>
      </c>
      <c r="F10" s="217" t="s">
        <v>116</v>
      </c>
      <c r="G10" s="208" t="s">
        <v>117</v>
      </c>
      <c r="H10" s="208"/>
      <c r="I10" s="208" t="s">
        <v>118</v>
      </c>
      <c r="J10" s="210" t="s">
        <v>573</v>
      </c>
      <c r="K10" s="210" t="s">
        <v>574</v>
      </c>
      <c r="L10" s="208" t="s">
        <v>116</v>
      </c>
      <c r="M10" s="208" t="s">
        <v>117</v>
      </c>
      <c r="N10" s="208"/>
      <c r="O10" s="208" t="s">
        <v>118</v>
      </c>
      <c r="P10" s="209"/>
    </row>
    <row r="11" spans="1:21" ht="21.75" customHeight="1" x14ac:dyDescent="0.2">
      <c r="A11" s="211"/>
      <c r="B11" s="212"/>
      <c r="C11" s="213"/>
      <c r="D11" s="214"/>
      <c r="E11" s="208"/>
      <c r="F11" s="217"/>
      <c r="G11" s="208" t="s">
        <v>119</v>
      </c>
      <c r="H11" s="208" t="s">
        <v>120</v>
      </c>
      <c r="I11" s="208"/>
      <c r="J11" s="210"/>
      <c r="K11" s="210"/>
      <c r="L11" s="208"/>
      <c r="M11" s="208" t="s">
        <v>119</v>
      </c>
      <c r="N11" s="208" t="s">
        <v>120</v>
      </c>
      <c r="O11" s="208"/>
      <c r="P11" s="209"/>
    </row>
    <row r="12" spans="1:21" ht="31.5" customHeight="1" x14ac:dyDescent="0.2">
      <c r="A12" s="211"/>
      <c r="B12" s="212"/>
      <c r="C12" s="213"/>
      <c r="D12" s="214"/>
      <c r="E12" s="208"/>
      <c r="F12" s="217"/>
      <c r="G12" s="208"/>
      <c r="H12" s="208"/>
      <c r="I12" s="208"/>
      <c r="J12" s="210"/>
      <c r="K12" s="210"/>
      <c r="L12" s="208"/>
      <c r="M12" s="208"/>
      <c r="N12" s="208"/>
      <c r="O12" s="208"/>
      <c r="P12" s="209"/>
    </row>
    <row r="13" spans="1:21" s="199" customFormat="1" x14ac:dyDescent="0.2">
      <c r="A13" s="197">
        <v>1</v>
      </c>
      <c r="B13" s="198" t="s">
        <v>79</v>
      </c>
      <c r="C13" s="196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173</v>
      </c>
      <c r="B14" s="80"/>
      <c r="C14" s="81"/>
      <c r="D14" s="82" t="s">
        <v>121</v>
      </c>
      <c r="E14" s="83">
        <f>E16</f>
        <v>49654900</v>
      </c>
      <c r="F14" s="83">
        <f t="shared" ref="F14:P14" si="0">F16</f>
        <v>49654900</v>
      </c>
      <c r="G14" s="83">
        <f t="shared" si="0"/>
        <v>31977500</v>
      </c>
      <c r="H14" s="83">
        <f t="shared" si="0"/>
        <v>1049000</v>
      </c>
      <c r="I14" s="83">
        <f t="shared" si="0"/>
        <v>0</v>
      </c>
      <c r="J14" s="83">
        <f>J16</f>
        <v>2339000</v>
      </c>
      <c r="K14" s="83">
        <f>K16</f>
        <v>724000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889000</v>
      </c>
      <c r="P14" s="83">
        <f t="shared" si="0"/>
        <v>51993900</v>
      </c>
      <c r="Q14" s="6"/>
      <c r="R14" s="190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514</v>
      </c>
      <c r="E15" s="91">
        <f>E25</f>
        <v>0</v>
      </c>
      <c r="F15" s="180">
        <f>F25</f>
        <v>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>
        <f>P25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180</v>
      </c>
      <c r="B16" s="80"/>
      <c r="C16" s="81"/>
      <c r="D16" s="85" t="s">
        <v>121</v>
      </c>
      <c r="E16" s="86">
        <f>E17+E20+E39+E22+E24+E28+E26+E33+E34+E37+E29+E32+E18</f>
        <v>49654900</v>
      </c>
      <c r="F16" s="86">
        <f>F17+F20+F39+F22+F24+F28+F26+F33+F34+F37+F29+F32+F18</f>
        <v>49654900</v>
      </c>
      <c r="G16" s="86">
        <f>G17+G20+G39+G22+G24+G28+G26+G33+G34+G37+G29+G32+G18</f>
        <v>31977500</v>
      </c>
      <c r="H16" s="86">
        <f>H17+H20+H39+H22+H24+H28+H26+H33+H34+H37+H29+H32+H18</f>
        <v>1049000</v>
      </c>
      <c r="I16" s="86">
        <f>I17+I20+I39+I22+I24+I28+I26+I33+I34+I37+I29+I32+I18</f>
        <v>0</v>
      </c>
      <c r="J16" s="86">
        <f t="shared" ref="J16:O16" si="1">J17+J20+J39+J22+J24+J28+J26+J33+J34+J37+J29+J32+J18+J36</f>
        <v>2339000</v>
      </c>
      <c r="K16" s="86">
        <f t="shared" si="1"/>
        <v>724000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889000</v>
      </c>
      <c r="P16" s="86">
        <f>P17+P20+P39+P22+P24+P27+P28+P26+P33+P34+P37+P29+P32+P35+P18</f>
        <v>51993900</v>
      </c>
      <c r="Q16" s="200"/>
      <c r="R16" s="200"/>
      <c r="S16" s="200"/>
      <c r="T16" s="200"/>
      <c r="U16" s="200"/>
    </row>
    <row r="17" spans="1:21" s="6" customFormat="1" ht="41.25" customHeight="1" x14ac:dyDescent="0.2">
      <c r="A17" s="51" t="s">
        <v>181</v>
      </c>
      <c r="B17" s="36" t="s">
        <v>178</v>
      </c>
      <c r="C17" s="36" t="s">
        <v>122</v>
      </c>
      <c r="D17" s="20" t="s">
        <v>179</v>
      </c>
      <c r="E17" s="68">
        <f>F17+I17</f>
        <v>43561300</v>
      </c>
      <c r="F17" s="68">
        <f>44195700-1634400+1000000</f>
        <v>43561300</v>
      </c>
      <c r="G17" s="68">
        <f>32317200-1339700+1000000</f>
        <v>31977500</v>
      </c>
      <c r="H17" s="87">
        <v>1049000</v>
      </c>
      <c r="I17" s="68"/>
      <c r="J17" s="68">
        <f>L17+O17</f>
        <v>400000</v>
      </c>
      <c r="K17" s="68">
        <v>400000</v>
      </c>
      <c r="L17" s="68"/>
      <c r="M17" s="68"/>
      <c r="N17" s="68"/>
      <c r="O17" s="68">
        <f>K17</f>
        <v>400000</v>
      </c>
      <c r="P17" s="88">
        <f t="shared" ref="P17:P39" si="2">E17+J17</f>
        <v>43961300</v>
      </c>
    </row>
    <row r="18" spans="1:21" s="6" customFormat="1" ht="25.5" hidden="1" x14ac:dyDescent="0.2">
      <c r="A18" s="51" t="s">
        <v>575</v>
      </c>
      <c r="B18" s="36" t="s">
        <v>576</v>
      </c>
      <c r="C18" s="36"/>
      <c r="D18" s="73" t="s">
        <v>579</v>
      </c>
      <c r="E18" s="68">
        <f>F18+I18</f>
        <v>50000</v>
      </c>
      <c r="F18" s="68">
        <f>F19</f>
        <v>50000</v>
      </c>
      <c r="G18" s="68">
        <f>G19</f>
        <v>0</v>
      </c>
      <c r="H18" s="68">
        <f>H19</f>
        <v>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50000</v>
      </c>
    </row>
    <row r="19" spans="1:21" s="11" customFormat="1" x14ac:dyDescent="0.2">
      <c r="A19" s="50" t="s">
        <v>577</v>
      </c>
      <c r="B19" s="29" t="s">
        <v>578</v>
      </c>
      <c r="C19" s="29" t="s">
        <v>197</v>
      </c>
      <c r="D19" s="71" t="s">
        <v>580</v>
      </c>
      <c r="E19" s="68">
        <f>F19+I19</f>
        <v>50000</v>
      </c>
      <c r="F19" s="64">
        <v>50000</v>
      </c>
      <c r="G19" s="64"/>
      <c r="H19" s="57"/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50000</v>
      </c>
    </row>
    <row r="20" spans="1:21" hidden="1" x14ac:dyDescent="0.2">
      <c r="A20" s="51" t="s">
        <v>461</v>
      </c>
      <c r="B20" s="14" t="s">
        <v>433</v>
      </c>
      <c r="C20" s="14"/>
      <c r="D20" s="73" t="s">
        <v>17</v>
      </c>
      <c r="E20" s="68">
        <f t="shared" ref="E20:E32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39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462</v>
      </c>
      <c r="B21" s="39" t="s">
        <v>435</v>
      </c>
      <c r="C21" s="39" t="s">
        <v>124</v>
      </c>
      <c r="D21" s="90" t="s">
        <v>458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8" si="6">K21</f>
        <v>0</v>
      </c>
      <c r="P21" s="88">
        <f t="shared" si="2"/>
        <v>0</v>
      </c>
      <c r="Q21" s="201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57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x14ac:dyDescent="0.2">
      <c r="A24" s="51" t="s">
        <v>183</v>
      </c>
      <c r="B24" s="94" t="s">
        <v>182</v>
      </c>
      <c r="C24" s="94" t="s">
        <v>5</v>
      </c>
      <c r="D24" s="73" t="s">
        <v>81</v>
      </c>
      <c r="E24" s="68">
        <f t="shared" si="3"/>
        <v>640000</v>
      </c>
      <c r="F24" s="92">
        <v>640000</v>
      </c>
      <c r="G24" s="92"/>
      <c r="H24" s="92"/>
      <c r="I24" s="92"/>
      <c r="J24" s="68">
        <f t="shared" si="5"/>
        <v>0</v>
      </c>
      <c r="K24" s="92"/>
      <c r="L24" s="92"/>
      <c r="M24" s="92"/>
      <c r="N24" s="92"/>
      <c r="O24" s="92">
        <f t="shared" si="6"/>
        <v>0</v>
      </c>
      <c r="P24" s="88">
        <f t="shared" si="2"/>
        <v>640000</v>
      </c>
      <c r="Q24" s="6"/>
      <c r="R24" s="6"/>
      <c r="S24" s="6"/>
      <c r="T24" s="6"/>
      <c r="U24" s="6"/>
    </row>
    <row r="25" spans="1:21" s="13" customFormat="1" hidden="1" x14ac:dyDescent="0.2">
      <c r="A25" s="50"/>
      <c r="B25" s="33"/>
      <c r="C25" s="33"/>
      <c r="D25" s="54" t="s">
        <v>514</v>
      </c>
      <c r="E25" s="64"/>
      <c r="F25" s="180"/>
      <c r="G25" s="180"/>
      <c r="H25" s="180"/>
      <c r="I25" s="180"/>
      <c r="J25" s="64"/>
      <c r="K25" s="180"/>
      <c r="L25" s="180"/>
      <c r="M25" s="180"/>
      <c r="N25" s="180"/>
      <c r="O25" s="180"/>
      <c r="P25" s="88">
        <f t="shared" si="2"/>
        <v>0</v>
      </c>
      <c r="Q25" s="11"/>
      <c r="R25" s="11"/>
      <c r="S25" s="11"/>
      <c r="T25" s="11"/>
      <c r="U25" s="11"/>
    </row>
    <row r="26" spans="1:21" x14ac:dyDescent="0.2">
      <c r="A26" s="51" t="s">
        <v>186</v>
      </c>
      <c r="B26" s="63" t="s">
        <v>185</v>
      </c>
      <c r="C26" s="63" t="s">
        <v>129</v>
      </c>
      <c r="D26" s="95" t="s">
        <v>83</v>
      </c>
      <c r="E26" s="68">
        <f t="shared" si="3"/>
        <v>500000</v>
      </c>
      <c r="F26" s="92">
        <v>500000</v>
      </c>
      <c r="G26" s="92"/>
      <c r="H26" s="92"/>
      <c r="I26" s="92"/>
      <c r="J26" s="68">
        <f t="shared" si="5"/>
        <v>0</v>
      </c>
      <c r="K26" s="92"/>
      <c r="L26" s="92"/>
      <c r="M26" s="92"/>
      <c r="N26" s="92"/>
      <c r="O26" s="92">
        <f t="shared" si="6"/>
        <v>0</v>
      </c>
      <c r="P26" s="88">
        <f t="shared" si="2"/>
        <v>500000</v>
      </c>
      <c r="Q26" s="6"/>
      <c r="R26" s="6"/>
      <c r="S26" s="6"/>
      <c r="T26" s="6"/>
      <c r="U26" s="6"/>
    </row>
    <row r="27" spans="1:21" hidden="1" x14ac:dyDescent="0.2">
      <c r="A27" s="51" t="s">
        <v>520</v>
      </c>
      <c r="B27" s="63" t="s">
        <v>184</v>
      </c>
      <c r="C27" s="96" t="s">
        <v>128</v>
      </c>
      <c r="D27" s="97" t="s">
        <v>521</v>
      </c>
      <c r="E27" s="68">
        <f>F27+I27</f>
        <v>0</v>
      </c>
      <c r="F27" s="92"/>
      <c r="G27" s="92"/>
      <c r="H27" s="92"/>
      <c r="I27" s="92"/>
      <c r="J27" s="68">
        <f>L27+O27</f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0</v>
      </c>
      <c r="Q27" s="6"/>
      <c r="R27" s="6"/>
      <c r="S27" s="6"/>
      <c r="T27" s="6"/>
      <c r="U27" s="6"/>
    </row>
    <row r="28" spans="1:21" ht="13.5" customHeight="1" x14ac:dyDescent="0.2">
      <c r="A28" s="51" t="s">
        <v>402</v>
      </c>
      <c r="B28" s="63" t="s">
        <v>401</v>
      </c>
      <c r="C28" s="63" t="s">
        <v>128</v>
      </c>
      <c r="D28" s="97" t="s">
        <v>403</v>
      </c>
      <c r="E28" s="68">
        <f>F28+I28</f>
        <v>108000</v>
      </c>
      <c r="F28" s="92">
        <v>108000</v>
      </c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108000</v>
      </c>
      <c r="Q28" s="6"/>
      <c r="R28" s="6"/>
      <c r="S28" s="6"/>
      <c r="T28" s="6"/>
      <c r="U28" s="6"/>
    </row>
    <row r="29" spans="1:21" ht="10.5" hidden="1" customHeight="1" x14ac:dyDescent="0.2">
      <c r="A29" s="51" t="s">
        <v>190</v>
      </c>
      <c r="B29" s="14" t="s">
        <v>189</v>
      </c>
      <c r="C29" s="14"/>
      <c r="D29" s="97" t="s">
        <v>191</v>
      </c>
      <c r="E29" s="68">
        <f t="shared" si="3"/>
        <v>4327100</v>
      </c>
      <c r="F29" s="93">
        <f>F30+F31</f>
        <v>4327100</v>
      </c>
      <c r="G29" s="93">
        <f>G30+G31</f>
        <v>0</v>
      </c>
      <c r="H29" s="93">
        <f>H30+H31</f>
        <v>0</v>
      </c>
      <c r="I29" s="93">
        <f>I30+I31</f>
        <v>0</v>
      </c>
      <c r="J29" s="68">
        <f t="shared" si="5"/>
        <v>1485000</v>
      </c>
      <c r="K29" s="93">
        <f>K30+K31</f>
        <v>85000</v>
      </c>
      <c r="L29" s="93">
        <f>L30+L31</f>
        <v>1400000</v>
      </c>
      <c r="M29" s="93">
        <f>M30+M31</f>
        <v>0</v>
      </c>
      <c r="N29" s="93">
        <f>N30+N31</f>
        <v>0</v>
      </c>
      <c r="O29" s="93">
        <f>O30+O31</f>
        <v>85000</v>
      </c>
      <c r="P29" s="88">
        <f t="shared" si="2"/>
        <v>5812100</v>
      </c>
      <c r="Q29" s="6"/>
      <c r="R29" s="6"/>
      <c r="S29" s="6"/>
      <c r="T29" s="6"/>
      <c r="U29" s="6"/>
    </row>
    <row r="30" spans="1:21" s="13" customFormat="1" ht="63.75" x14ac:dyDescent="0.2">
      <c r="A30" s="50" t="s">
        <v>414</v>
      </c>
      <c r="B30" s="39" t="s">
        <v>413</v>
      </c>
      <c r="C30" s="39" t="s">
        <v>128</v>
      </c>
      <c r="D30" s="32" t="s">
        <v>453</v>
      </c>
      <c r="E30" s="64">
        <f t="shared" si="3"/>
        <v>0</v>
      </c>
      <c r="F30" s="91"/>
      <c r="G30" s="91"/>
      <c r="H30" s="91"/>
      <c r="I30" s="91"/>
      <c r="J30" s="64">
        <f t="shared" si="5"/>
        <v>1400000</v>
      </c>
      <c r="K30" s="91"/>
      <c r="L30" s="91">
        <v>1400000</v>
      </c>
      <c r="M30" s="91"/>
      <c r="N30" s="91"/>
      <c r="O30" s="91">
        <f>K30</f>
        <v>0</v>
      </c>
      <c r="P30" s="88">
        <f t="shared" si="2"/>
        <v>1400000</v>
      </c>
      <c r="Q30" s="11"/>
      <c r="R30" s="11"/>
      <c r="S30" s="11"/>
      <c r="T30" s="11"/>
      <c r="U30" s="11"/>
    </row>
    <row r="31" spans="1:21" s="13" customFormat="1" x14ac:dyDescent="0.2">
      <c r="A31" s="50" t="s">
        <v>192</v>
      </c>
      <c r="B31" s="39" t="s">
        <v>193</v>
      </c>
      <c r="C31" s="39" t="s">
        <v>128</v>
      </c>
      <c r="D31" s="32" t="s">
        <v>194</v>
      </c>
      <c r="E31" s="64">
        <f t="shared" si="3"/>
        <v>4327100</v>
      </c>
      <c r="F31" s="91">
        <v>4327100</v>
      </c>
      <c r="G31" s="91"/>
      <c r="H31" s="91"/>
      <c r="I31" s="91"/>
      <c r="J31" s="64">
        <f t="shared" si="5"/>
        <v>85000</v>
      </c>
      <c r="K31" s="91">
        <v>85000</v>
      </c>
      <c r="L31" s="91"/>
      <c r="M31" s="91"/>
      <c r="N31" s="91"/>
      <c r="O31" s="91">
        <f>K31</f>
        <v>85000</v>
      </c>
      <c r="P31" s="88">
        <f t="shared" si="2"/>
        <v>4412100</v>
      </c>
      <c r="Q31" s="11"/>
      <c r="R31" s="11"/>
      <c r="S31" s="11"/>
      <c r="T31" s="11"/>
      <c r="U31" s="11"/>
    </row>
    <row r="32" spans="1:21" hidden="1" x14ac:dyDescent="0.2">
      <c r="A32" s="98" t="s">
        <v>86</v>
      </c>
      <c r="B32" s="94" t="s">
        <v>29</v>
      </c>
      <c r="C32" s="94" t="s">
        <v>135</v>
      </c>
      <c r="D32" s="99" t="s">
        <v>136</v>
      </c>
      <c r="E32" s="68">
        <f t="shared" si="3"/>
        <v>0</v>
      </c>
      <c r="F32" s="93"/>
      <c r="G32" s="93"/>
      <c r="H32" s="93"/>
      <c r="I32" s="93"/>
      <c r="J32" s="68">
        <f t="shared" si="5"/>
        <v>0</v>
      </c>
      <c r="K32" s="93"/>
      <c r="L32" s="93"/>
      <c r="M32" s="93"/>
      <c r="N32" s="93"/>
      <c r="O32" s="92">
        <f>K32</f>
        <v>0</v>
      </c>
      <c r="P32" s="88">
        <f t="shared" si="2"/>
        <v>0</v>
      </c>
      <c r="Q32" s="6"/>
      <c r="R32" s="6"/>
      <c r="S32" s="6"/>
      <c r="T32" s="6"/>
      <c r="U32" s="6"/>
    </row>
    <row r="33" spans="1:21" ht="26.25" customHeight="1" x14ac:dyDescent="0.2">
      <c r="A33" s="51" t="s">
        <v>188</v>
      </c>
      <c r="B33" s="63" t="s">
        <v>187</v>
      </c>
      <c r="C33" s="63" t="s">
        <v>131</v>
      </c>
      <c r="D33" s="99" t="s">
        <v>415</v>
      </c>
      <c r="E33" s="68">
        <f>F33+I33</f>
        <v>68500</v>
      </c>
      <c r="F33" s="89">
        <v>68500</v>
      </c>
      <c r="G33" s="89"/>
      <c r="H33" s="89"/>
      <c r="I33" s="89"/>
      <c r="J33" s="68">
        <f t="shared" si="5"/>
        <v>239000</v>
      </c>
      <c r="K33" s="89">
        <v>239000</v>
      </c>
      <c r="L33" s="89"/>
      <c r="M33" s="89"/>
      <c r="N33" s="89"/>
      <c r="O33" s="92">
        <f>K33</f>
        <v>239000</v>
      </c>
      <c r="P33" s="88">
        <f t="shared" si="2"/>
        <v>307500</v>
      </c>
      <c r="Q33" s="6"/>
      <c r="R33" s="6"/>
      <c r="S33" s="6"/>
      <c r="T33" s="6"/>
      <c r="U33" s="6"/>
    </row>
    <row r="34" spans="1:21" ht="25.5" hidden="1" x14ac:dyDescent="0.2">
      <c r="A34" s="52" t="s">
        <v>82</v>
      </c>
      <c r="B34" s="63" t="s">
        <v>64</v>
      </c>
      <c r="C34" s="63" t="s">
        <v>132</v>
      </c>
      <c r="D34" s="99" t="s">
        <v>133</v>
      </c>
      <c r="E34" s="68">
        <f>F34+I34</f>
        <v>0</v>
      </c>
      <c r="F34" s="100"/>
      <c r="G34" s="100"/>
      <c r="H34" s="100"/>
      <c r="I34" s="100"/>
      <c r="J34" s="68">
        <f t="shared" si="5"/>
        <v>0</v>
      </c>
      <c r="K34" s="100"/>
      <c r="L34" s="100"/>
      <c r="M34" s="100"/>
      <c r="N34" s="100"/>
      <c r="O34" s="92">
        <f>K34</f>
        <v>0</v>
      </c>
      <c r="P34" s="88">
        <f t="shared" si="2"/>
        <v>0</v>
      </c>
      <c r="Q34" s="6"/>
      <c r="R34" s="6"/>
      <c r="S34" s="6"/>
      <c r="T34" s="6"/>
      <c r="U34" s="6"/>
    </row>
    <row r="35" spans="1:21" hidden="1" x14ac:dyDescent="0.2">
      <c r="A35" s="52" t="s">
        <v>499</v>
      </c>
      <c r="B35" s="63" t="s">
        <v>500</v>
      </c>
      <c r="C35" s="63"/>
      <c r="D35" s="99" t="s">
        <v>503</v>
      </c>
      <c r="E35" s="68"/>
      <c r="F35" s="100"/>
      <c r="G35" s="100"/>
      <c r="H35" s="100"/>
      <c r="I35" s="100"/>
      <c r="J35" s="68">
        <f t="shared" si="5"/>
        <v>165000</v>
      </c>
      <c r="K35" s="100"/>
      <c r="L35" s="89">
        <f>L36</f>
        <v>0</v>
      </c>
      <c r="M35" s="89">
        <f>M36</f>
        <v>0</v>
      </c>
      <c r="N35" s="89">
        <f>N36</f>
        <v>0</v>
      </c>
      <c r="O35" s="89">
        <f>O36</f>
        <v>165000</v>
      </c>
      <c r="P35" s="88">
        <f t="shared" si="2"/>
        <v>165000</v>
      </c>
      <c r="Q35" s="6"/>
      <c r="R35" s="6"/>
      <c r="S35" s="6"/>
      <c r="T35" s="6"/>
      <c r="U35" s="6"/>
    </row>
    <row r="36" spans="1:21" s="13" customFormat="1" x14ac:dyDescent="0.2">
      <c r="A36" s="50" t="s">
        <v>501</v>
      </c>
      <c r="B36" s="30" t="s">
        <v>502</v>
      </c>
      <c r="C36" s="30" t="s">
        <v>130</v>
      </c>
      <c r="D36" s="101" t="s">
        <v>134</v>
      </c>
      <c r="E36" s="64"/>
      <c r="F36" s="102"/>
      <c r="G36" s="102"/>
      <c r="H36" s="102"/>
      <c r="I36" s="102"/>
      <c r="J36" s="68">
        <f t="shared" si="5"/>
        <v>165000</v>
      </c>
      <c r="K36" s="102"/>
      <c r="L36" s="67"/>
      <c r="M36" s="67"/>
      <c r="N36" s="67"/>
      <c r="O36" s="92">
        <v>165000</v>
      </c>
      <c r="P36" s="103">
        <f t="shared" si="2"/>
        <v>165000</v>
      </c>
      <c r="Q36" s="11"/>
      <c r="R36" s="11"/>
      <c r="S36" s="11"/>
      <c r="T36" s="11"/>
      <c r="U36" s="11"/>
    </row>
    <row r="37" spans="1:21" x14ac:dyDescent="0.2">
      <c r="A37" s="51" t="s">
        <v>504</v>
      </c>
      <c r="B37" s="14" t="s">
        <v>505</v>
      </c>
      <c r="C37" s="14" t="s">
        <v>376</v>
      </c>
      <c r="D37" s="38" t="s">
        <v>506</v>
      </c>
      <c r="E37" s="68">
        <f>F37+I37</f>
        <v>0</v>
      </c>
      <c r="F37" s="93">
        <f>F38</f>
        <v>0</v>
      </c>
      <c r="G37" s="93">
        <f>G38</f>
        <v>0</v>
      </c>
      <c r="H37" s="93">
        <f>H38</f>
        <v>0</v>
      </c>
      <c r="I37" s="93">
        <f>I38</f>
        <v>0</v>
      </c>
      <c r="J37" s="68">
        <f t="shared" si="5"/>
        <v>50000</v>
      </c>
      <c r="K37" s="93">
        <f>K38</f>
        <v>0</v>
      </c>
      <c r="L37" s="93">
        <v>50000</v>
      </c>
      <c r="M37" s="93">
        <f>M38</f>
        <v>0</v>
      </c>
      <c r="N37" s="93">
        <f>N38</f>
        <v>0</v>
      </c>
      <c r="O37" s="93"/>
      <c r="P37" s="88">
        <f t="shared" si="2"/>
        <v>50000</v>
      </c>
      <c r="Q37" s="6"/>
      <c r="R37" s="6"/>
      <c r="S37" s="6"/>
      <c r="T37" s="6"/>
      <c r="U37" s="6"/>
    </row>
    <row r="38" spans="1:21" hidden="1" x14ac:dyDescent="0.2">
      <c r="A38" s="104"/>
      <c r="B38" s="39"/>
      <c r="C38" s="39"/>
      <c r="D38" s="90" t="s">
        <v>134</v>
      </c>
      <c r="E38" s="68">
        <f>F38+I38</f>
        <v>0</v>
      </c>
      <c r="F38" s="91"/>
      <c r="G38" s="91"/>
      <c r="H38" s="91"/>
      <c r="I38" s="91"/>
      <c r="J38" s="68">
        <f t="shared" si="5"/>
        <v>85000</v>
      </c>
      <c r="K38" s="91"/>
      <c r="L38" s="91"/>
      <c r="M38" s="91"/>
      <c r="N38" s="91"/>
      <c r="O38" s="93">
        <f>O29</f>
        <v>85000</v>
      </c>
      <c r="P38" s="88">
        <f t="shared" si="2"/>
        <v>85000</v>
      </c>
      <c r="Q38" s="6"/>
      <c r="R38" s="6"/>
      <c r="S38" s="6"/>
      <c r="T38" s="6"/>
      <c r="U38" s="6"/>
    </row>
    <row r="39" spans="1:21" x14ac:dyDescent="0.2">
      <c r="A39" s="51" t="s">
        <v>452</v>
      </c>
      <c r="B39" s="63" t="s">
        <v>412</v>
      </c>
      <c r="C39" s="14" t="s">
        <v>126</v>
      </c>
      <c r="D39" s="105" t="s">
        <v>411</v>
      </c>
      <c r="E39" s="68">
        <f>F39+I39</f>
        <v>400000</v>
      </c>
      <c r="F39" s="93">
        <v>400000</v>
      </c>
      <c r="G39" s="93"/>
      <c r="H39" s="93"/>
      <c r="I39" s="93"/>
      <c r="J39" s="68">
        <f t="shared" si="5"/>
        <v>0</v>
      </c>
      <c r="K39" s="93"/>
      <c r="L39" s="93"/>
      <c r="M39" s="93"/>
      <c r="N39" s="93"/>
      <c r="O39" s="92">
        <f>K39</f>
        <v>0</v>
      </c>
      <c r="P39" s="88">
        <f t="shared" si="2"/>
        <v>400000</v>
      </c>
      <c r="Q39" s="6"/>
      <c r="R39" s="6"/>
      <c r="S39" s="6"/>
      <c r="T39" s="6"/>
      <c r="U39" s="6"/>
    </row>
    <row r="40" spans="1:21" x14ac:dyDescent="0.2">
      <c r="A40" s="53" t="s">
        <v>174</v>
      </c>
      <c r="B40" s="80"/>
      <c r="C40" s="106"/>
      <c r="D40" s="82" t="s">
        <v>137</v>
      </c>
      <c r="E40" s="100">
        <f>E49</f>
        <v>474560486</v>
      </c>
      <c r="F40" s="100">
        <f t="shared" ref="F40:P40" si="8">F49</f>
        <v>474560486</v>
      </c>
      <c r="G40" s="100">
        <f t="shared" si="8"/>
        <v>340974519</v>
      </c>
      <c r="H40" s="100">
        <f t="shared" si="8"/>
        <v>38323600</v>
      </c>
      <c r="I40" s="100"/>
      <c r="J40" s="100">
        <f t="shared" si="8"/>
        <v>36973905</v>
      </c>
      <c r="K40" s="100">
        <f>K49</f>
        <v>14617629</v>
      </c>
      <c r="L40" s="100">
        <f t="shared" si="8"/>
        <v>22074216</v>
      </c>
      <c r="M40" s="100">
        <f t="shared" si="8"/>
        <v>1688270</v>
      </c>
      <c r="N40" s="100">
        <f t="shared" si="8"/>
        <v>284016</v>
      </c>
      <c r="O40" s="100">
        <f t="shared" si="8"/>
        <v>14899689</v>
      </c>
      <c r="P40" s="100">
        <f t="shared" si="8"/>
        <v>511534391</v>
      </c>
      <c r="Q40" s="204"/>
      <c r="R40" s="190"/>
      <c r="S40" s="6"/>
      <c r="T40" s="6"/>
      <c r="U40" s="6"/>
    </row>
    <row r="41" spans="1:21" s="13" customFormat="1" x14ac:dyDescent="0.2">
      <c r="A41" s="50"/>
      <c r="B41" s="66"/>
      <c r="C41" s="39"/>
      <c r="D41" s="54" t="s">
        <v>87</v>
      </c>
      <c r="E41" s="64">
        <f>F41</f>
        <v>200044300</v>
      </c>
      <c r="F41" s="67">
        <f>F57+F65+F75+F79</f>
        <v>200044300</v>
      </c>
      <c r="G41" s="67">
        <f>G57+G65+G75+G79</f>
        <v>163970779</v>
      </c>
      <c r="H41" s="67">
        <f>H57+H65+H75</f>
        <v>0</v>
      </c>
      <c r="I41" s="67"/>
      <c r="J41" s="64">
        <f>L41+O41</f>
        <v>0</v>
      </c>
      <c r="K41" s="67">
        <v>0</v>
      </c>
      <c r="L41" s="67">
        <f>SUM(L57+L62+L65)</f>
        <v>0</v>
      </c>
      <c r="M41" s="67">
        <f>SUM(M57+M62+M65)</f>
        <v>0</v>
      </c>
      <c r="N41" s="67">
        <f>SUM(N57+N62+N65)</f>
        <v>0</v>
      </c>
      <c r="O41" s="67">
        <v>0</v>
      </c>
      <c r="P41" s="88">
        <f t="shared" ref="P41:P48" si="9">E41+J41</f>
        <v>200044300</v>
      </c>
      <c r="Q41" s="11"/>
      <c r="R41" s="11"/>
      <c r="S41" s="11"/>
      <c r="T41" s="11"/>
      <c r="U41" s="11"/>
    </row>
    <row r="42" spans="1:21" s="13" customFormat="1" ht="25.5" x14ac:dyDescent="0.2">
      <c r="A42" s="50"/>
      <c r="B42" s="66"/>
      <c r="C42" s="39"/>
      <c r="D42" s="54" t="s">
        <v>497</v>
      </c>
      <c r="E42" s="64">
        <f>F42</f>
        <v>1000000</v>
      </c>
      <c r="F42" s="67">
        <f>F62</f>
        <v>1000000</v>
      </c>
      <c r="G42" s="67">
        <f>G62</f>
        <v>0</v>
      </c>
      <c r="H42" s="67"/>
      <c r="I42" s="67"/>
      <c r="J42" s="64">
        <f>L42+O42</f>
        <v>2173400</v>
      </c>
      <c r="K42" s="67">
        <f>K62</f>
        <v>2173400</v>
      </c>
      <c r="L42" s="67">
        <f>L62</f>
        <v>0</v>
      </c>
      <c r="M42" s="67">
        <f>M62</f>
        <v>0</v>
      </c>
      <c r="N42" s="67">
        <f>N62</f>
        <v>0</v>
      </c>
      <c r="O42" s="67">
        <f>K42</f>
        <v>2173400</v>
      </c>
      <c r="P42" s="88">
        <f t="shared" si="9"/>
        <v>3173400</v>
      </c>
      <c r="Q42" s="11"/>
      <c r="R42" s="11"/>
      <c r="S42" s="11"/>
      <c r="T42" s="11"/>
      <c r="U42" s="11"/>
    </row>
    <row r="43" spans="1:21" s="13" customFormat="1" x14ac:dyDescent="0.2">
      <c r="A43" s="50"/>
      <c r="B43" s="66"/>
      <c r="C43" s="39"/>
      <c r="D43" s="54" t="s">
        <v>514</v>
      </c>
      <c r="E43" s="64">
        <f>F43+I43</f>
        <v>0</v>
      </c>
      <c r="F43" s="67">
        <f>F81+F56+F54+F69</f>
        <v>0</v>
      </c>
      <c r="G43" s="67"/>
      <c r="H43" s="67"/>
      <c r="I43" s="67"/>
      <c r="J43" s="64">
        <f>L43+O43</f>
        <v>0</v>
      </c>
      <c r="K43" s="67">
        <f>K63+K54+K56+K69</f>
        <v>0</v>
      </c>
      <c r="L43" s="67"/>
      <c r="M43" s="67"/>
      <c r="N43" s="67"/>
      <c r="O43" s="67">
        <f>K43</f>
        <v>0</v>
      </c>
      <c r="P43" s="88">
        <f t="shared" si="9"/>
        <v>0</v>
      </c>
      <c r="Q43" s="11"/>
      <c r="R43" s="11"/>
      <c r="S43" s="11"/>
      <c r="T43" s="11"/>
      <c r="U43" s="11"/>
    </row>
    <row r="44" spans="1:21" s="13" customFormat="1" ht="25.5" hidden="1" x14ac:dyDescent="0.2">
      <c r="A44" s="50"/>
      <c r="B44" s="33"/>
      <c r="C44" s="33"/>
      <c r="D44" s="55" t="s">
        <v>510</v>
      </c>
      <c r="E44" s="64">
        <f>F44+I44</f>
        <v>0</v>
      </c>
      <c r="F44" s="107">
        <f>F63</f>
        <v>0</v>
      </c>
      <c r="G44" s="107"/>
      <c r="H44" s="107"/>
      <c r="I44" s="107"/>
      <c r="J44" s="64"/>
      <c r="K44" s="107"/>
      <c r="L44" s="107"/>
      <c r="M44" s="107"/>
      <c r="N44" s="107"/>
      <c r="O44" s="107"/>
      <c r="P44" s="88">
        <f t="shared" si="9"/>
        <v>0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598</v>
      </c>
      <c r="E45" s="64">
        <f>F45</f>
        <v>3075849</v>
      </c>
      <c r="F45" s="107">
        <f>F80</f>
        <v>3075849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9"/>
        <v>3075849</v>
      </c>
      <c r="Q45" s="11"/>
      <c r="R45" s="11"/>
      <c r="S45" s="11"/>
      <c r="T45" s="11"/>
      <c r="U45" s="11"/>
    </row>
    <row r="46" spans="1:21" s="13" customFormat="1" ht="38.25" hidden="1" x14ac:dyDescent="0.2">
      <c r="A46" s="50"/>
      <c r="B46" s="33"/>
      <c r="C46" s="33"/>
      <c r="D46" s="55" t="s">
        <v>612</v>
      </c>
      <c r="E46" s="64">
        <f>E60</f>
        <v>0</v>
      </c>
      <c r="F46" s="64">
        <f>F60</f>
        <v>0</v>
      </c>
      <c r="G46" s="64">
        <f>G60</f>
        <v>0</v>
      </c>
      <c r="H46" s="64">
        <f>H60</f>
        <v>0</v>
      </c>
      <c r="I46" s="64">
        <f>I60</f>
        <v>0</v>
      </c>
      <c r="J46" s="64">
        <f>L46+O46</f>
        <v>0</v>
      </c>
      <c r="K46" s="107">
        <f>K60</f>
        <v>0</v>
      </c>
      <c r="L46" s="107"/>
      <c r="M46" s="107"/>
      <c r="N46" s="107"/>
      <c r="O46" s="107">
        <f>O60</f>
        <v>0</v>
      </c>
      <c r="P46" s="88">
        <f t="shared" si="9"/>
        <v>0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66"/>
      <c r="C47" s="39"/>
      <c r="D47" s="54" t="s">
        <v>531</v>
      </c>
      <c r="E47" s="64">
        <f>E67+E76+E52</f>
        <v>993975</v>
      </c>
      <c r="F47" s="64">
        <f>F67+F76+F52</f>
        <v>993975</v>
      </c>
      <c r="G47" s="64">
        <f>G67+G76+G52</f>
        <v>814673</v>
      </c>
      <c r="H47" s="64">
        <f>H67+H76</f>
        <v>0</v>
      </c>
      <c r="I47" s="64">
        <f>I67+I76</f>
        <v>0</v>
      </c>
      <c r="J47" s="64">
        <f t="shared" ref="J47:O47" si="10">J67+J76+J52</f>
        <v>522044</v>
      </c>
      <c r="K47" s="64">
        <f t="shared" si="10"/>
        <v>522044</v>
      </c>
      <c r="L47" s="64">
        <f t="shared" si="10"/>
        <v>0</v>
      </c>
      <c r="M47" s="64">
        <f t="shared" si="10"/>
        <v>0</v>
      </c>
      <c r="N47" s="64">
        <f t="shared" si="10"/>
        <v>0</v>
      </c>
      <c r="O47" s="64">
        <f t="shared" si="10"/>
        <v>522044</v>
      </c>
      <c r="P47" s="88">
        <f t="shared" si="9"/>
        <v>1516019</v>
      </c>
      <c r="Q47" s="11"/>
      <c r="R47" s="11"/>
      <c r="S47" s="11"/>
      <c r="T47" s="11"/>
      <c r="U47" s="11"/>
    </row>
    <row r="48" spans="1:21" s="13" customFormat="1" ht="38.25" x14ac:dyDescent="0.2">
      <c r="A48" s="50"/>
      <c r="B48" s="66"/>
      <c r="C48" s="39"/>
      <c r="D48" s="54" t="s">
        <v>542</v>
      </c>
      <c r="E48" s="64">
        <f>F48+I48</f>
        <v>628172</v>
      </c>
      <c r="F48" s="64">
        <f>F61+F53</f>
        <v>628172</v>
      </c>
      <c r="G48" s="64">
        <f t="shared" ref="G48:N48" si="11">G56</f>
        <v>0</v>
      </c>
      <c r="H48" s="64">
        <f t="shared" si="11"/>
        <v>0</v>
      </c>
      <c r="I48" s="64">
        <f t="shared" si="11"/>
        <v>0</v>
      </c>
      <c r="J48" s="64">
        <f>K48</f>
        <v>2657975</v>
      </c>
      <c r="K48" s="64">
        <f>K61+K53</f>
        <v>2657975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>K48</f>
        <v>2657975</v>
      </c>
      <c r="P48" s="88">
        <f t="shared" si="9"/>
        <v>3286147</v>
      </c>
      <c r="Q48" s="11"/>
      <c r="R48" s="11"/>
      <c r="S48" s="11"/>
      <c r="T48" s="11"/>
      <c r="U48" s="11"/>
    </row>
    <row r="49" spans="1:21" x14ac:dyDescent="0.2">
      <c r="A49" s="51" t="s">
        <v>195</v>
      </c>
      <c r="B49" s="96"/>
      <c r="C49" s="106"/>
      <c r="D49" s="77" t="s">
        <v>137</v>
      </c>
      <c r="E49" s="100">
        <f>E50+E51+E55+E59+E64+E68+E70+E71+E72+E73+E78+E77+E74</f>
        <v>474560486</v>
      </c>
      <c r="F49" s="100">
        <f>F50+F51+F55+F59+F64+F68+F70+F71+F72+F73+F78+F77+F74</f>
        <v>474560486</v>
      </c>
      <c r="G49" s="100">
        <f>G50+G51+G55+G59+G64+G68+G70+G71+G72+G73+G78+G77+G74</f>
        <v>340974519</v>
      </c>
      <c r="H49" s="100">
        <f>H50+H51+H55+H59+H64+H68+H70+H71+H72+H73+H78+H77+H74</f>
        <v>38323600</v>
      </c>
      <c r="I49" s="100">
        <f>I50+I51+I55+I59+I64+I68+I70+I71+I72+I73+I78+I77+I74</f>
        <v>0</v>
      </c>
      <c r="J49" s="100">
        <f t="shared" ref="J49:O49" si="12">J50+J51+J55+J59+J64+J68+J70+J71+J72+J73+J78+J82</f>
        <v>36973905</v>
      </c>
      <c r="K49" s="100">
        <f t="shared" si="12"/>
        <v>14617629</v>
      </c>
      <c r="L49" s="100">
        <f t="shared" si="12"/>
        <v>22074216</v>
      </c>
      <c r="M49" s="100">
        <f t="shared" si="12"/>
        <v>1688270</v>
      </c>
      <c r="N49" s="100">
        <f t="shared" si="12"/>
        <v>284016</v>
      </c>
      <c r="O49" s="100">
        <f t="shared" si="12"/>
        <v>14899689</v>
      </c>
      <c r="P49" s="100">
        <f>P50+P51+P55+P59+P64+P68+P70+P71+P72+P78+P74+P77+P82</f>
        <v>511534391</v>
      </c>
      <c r="Q49" s="6"/>
      <c r="R49" s="6"/>
      <c r="S49" s="6"/>
      <c r="T49" s="6"/>
      <c r="U49" s="6"/>
    </row>
    <row r="50" spans="1:21" s="6" customFormat="1" ht="25.5" x14ac:dyDescent="0.2">
      <c r="A50" s="51" t="s">
        <v>198</v>
      </c>
      <c r="B50" s="36" t="s">
        <v>197</v>
      </c>
      <c r="C50" s="36" t="s">
        <v>122</v>
      </c>
      <c r="D50" s="99" t="s">
        <v>196</v>
      </c>
      <c r="E50" s="68">
        <f t="shared" ref="E50:E81" si="13">F50+I50</f>
        <v>1952000</v>
      </c>
      <c r="F50" s="69">
        <f>1852900-600900+700000</f>
        <v>1952000</v>
      </c>
      <c r="G50" s="69">
        <f>1476100-492500+700000</f>
        <v>1683600</v>
      </c>
      <c r="H50" s="69"/>
      <c r="I50" s="69"/>
      <c r="J50" s="68">
        <f t="shared" ref="J50:J82" si="14">L50+O50</f>
        <v>6400</v>
      </c>
      <c r="K50" s="69">
        <v>6400</v>
      </c>
      <c r="L50" s="69"/>
      <c r="M50" s="69"/>
      <c r="N50" s="69"/>
      <c r="O50" s="69">
        <f>K50</f>
        <v>6400</v>
      </c>
      <c r="P50" s="88">
        <f t="shared" ref="P50:P108" si="15">E50+J50</f>
        <v>1958400</v>
      </c>
    </row>
    <row r="51" spans="1:21" x14ac:dyDescent="0.2">
      <c r="A51" s="51" t="s">
        <v>200</v>
      </c>
      <c r="B51" s="94" t="s">
        <v>60</v>
      </c>
      <c r="C51" s="94" t="s">
        <v>138</v>
      </c>
      <c r="D51" s="73" t="s">
        <v>199</v>
      </c>
      <c r="E51" s="68">
        <f t="shared" si="13"/>
        <v>166879189</v>
      </c>
      <c r="F51" s="69">
        <v>166879189</v>
      </c>
      <c r="G51" s="69">
        <v>114021340</v>
      </c>
      <c r="H51" s="69">
        <v>16158600</v>
      </c>
      <c r="I51" s="69"/>
      <c r="J51" s="68">
        <f t="shared" si="14"/>
        <v>17779136</v>
      </c>
      <c r="K51" s="69">
        <f>3036900+27000-1917500</f>
        <v>1146400</v>
      </c>
      <c r="L51" s="69">
        <v>16632736</v>
      </c>
      <c r="M51" s="69">
        <v>40820</v>
      </c>
      <c r="N51" s="69">
        <v>1886</v>
      </c>
      <c r="O51" s="69">
        <f>K51</f>
        <v>1146400</v>
      </c>
      <c r="P51" s="88">
        <f t="shared" si="15"/>
        <v>184658325</v>
      </c>
      <c r="Q51" s="6"/>
      <c r="R51" s="6"/>
      <c r="S51" s="6"/>
      <c r="T51" s="6"/>
      <c r="U51" s="6"/>
    </row>
    <row r="52" spans="1:21" ht="38.25" x14ac:dyDescent="0.2">
      <c r="A52" s="51"/>
      <c r="B52" s="94"/>
      <c r="C52" s="94"/>
      <c r="D52" s="54" t="s">
        <v>531</v>
      </c>
      <c r="E52" s="64">
        <f t="shared" si="13"/>
        <v>345189</v>
      </c>
      <c r="F52" s="107">
        <v>345189</v>
      </c>
      <c r="G52" s="107">
        <v>282940</v>
      </c>
      <c r="H52" s="107"/>
      <c r="I52" s="69"/>
      <c r="J52" s="68">
        <f t="shared" si="14"/>
        <v>0</v>
      </c>
      <c r="K52" s="69"/>
      <c r="L52" s="69"/>
      <c r="M52" s="69"/>
      <c r="N52" s="69"/>
      <c r="O52" s="69">
        <f>K52</f>
        <v>0</v>
      </c>
      <c r="P52" s="88">
        <f t="shared" si="15"/>
        <v>345189</v>
      </c>
      <c r="Q52" s="6"/>
      <c r="R52" s="6"/>
      <c r="S52" s="6"/>
      <c r="T52" s="6"/>
      <c r="U52" s="6"/>
    </row>
    <row r="53" spans="1:21" ht="38.25" hidden="1" x14ac:dyDescent="0.2">
      <c r="A53" s="51"/>
      <c r="B53" s="94"/>
      <c r="C53" s="94"/>
      <c r="D53" s="54" t="s">
        <v>542</v>
      </c>
      <c r="E53" s="64">
        <f t="shared" si="13"/>
        <v>0</v>
      </c>
      <c r="F53" s="107"/>
      <c r="G53" s="107"/>
      <c r="H53" s="107"/>
      <c r="I53" s="69"/>
      <c r="J53" s="68">
        <f t="shared" si="14"/>
        <v>0</v>
      </c>
      <c r="K53" s="69"/>
      <c r="L53" s="69"/>
      <c r="M53" s="69"/>
      <c r="N53" s="69"/>
      <c r="O53" s="69">
        <f>K53</f>
        <v>0</v>
      </c>
      <c r="P53" s="88">
        <f>E53+J53</f>
        <v>0</v>
      </c>
      <c r="Q53" s="6"/>
      <c r="R53" s="6"/>
      <c r="S53" s="6"/>
      <c r="T53" s="6"/>
      <c r="U53" s="6"/>
    </row>
    <row r="54" spans="1:21" s="13" customFormat="1" hidden="1" x14ac:dyDescent="0.2">
      <c r="A54" s="50"/>
      <c r="B54" s="33"/>
      <c r="C54" s="33"/>
      <c r="D54" s="55" t="s">
        <v>514</v>
      </c>
      <c r="E54" s="68">
        <f t="shared" si="13"/>
        <v>0</v>
      </c>
      <c r="F54" s="107"/>
      <c r="G54" s="107"/>
      <c r="H54" s="107"/>
      <c r="I54" s="107"/>
      <c r="J54" s="68">
        <f t="shared" si="14"/>
        <v>0</v>
      </c>
      <c r="K54" s="107"/>
      <c r="L54" s="107"/>
      <c r="M54" s="107"/>
      <c r="N54" s="107"/>
      <c r="O54" s="69">
        <f>K54</f>
        <v>0</v>
      </c>
      <c r="P54" s="88">
        <f t="shared" si="15"/>
        <v>0</v>
      </c>
      <c r="Q54" s="11"/>
      <c r="R54" s="11"/>
      <c r="S54" s="11"/>
      <c r="T54" s="11"/>
      <c r="U54" s="11"/>
    </row>
    <row r="55" spans="1:21" ht="25.5" x14ac:dyDescent="0.2">
      <c r="A55" s="193" t="s">
        <v>201</v>
      </c>
      <c r="B55" s="132" t="s">
        <v>62</v>
      </c>
      <c r="C55" s="132" t="s">
        <v>139</v>
      </c>
      <c r="D55" s="133" t="s">
        <v>630</v>
      </c>
      <c r="E55" s="68">
        <f t="shared" si="13"/>
        <v>265213062</v>
      </c>
      <c r="F55" s="69">
        <f>263850890+4000+730000+628172</f>
        <v>265213062</v>
      </c>
      <c r="G55" s="69">
        <f>196369509+21737</f>
        <v>196391246</v>
      </c>
      <c r="H55" s="69">
        <f>18928200+7329900-7329900</f>
        <v>18928200</v>
      </c>
      <c r="I55" s="69"/>
      <c r="J55" s="68">
        <f t="shared" si="14"/>
        <v>16994125</v>
      </c>
      <c r="K55" s="69">
        <f>7419310+2173400+100000+2854434+45000-196459-104500</f>
        <v>12291185</v>
      </c>
      <c r="L55" s="69">
        <v>4464280</v>
      </c>
      <c r="M55" s="69">
        <v>1424750</v>
      </c>
      <c r="N55" s="69">
        <v>258260</v>
      </c>
      <c r="O55" s="69">
        <f>K55+238660</f>
        <v>12529845</v>
      </c>
      <c r="P55" s="88">
        <f t="shared" si="15"/>
        <v>282207187</v>
      </c>
      <c r="Q55" s="6"/>
      <c r="R55" s="6"/>
      <c r="S55" s="6"/>
      <c r="T55" s="6"/>
      <c r="U55" s="6"/>
    </row>
    <row r="56" spans="1:21" hidden="1" x14ac:dyDescent="0.2">
      <c r="A56" s="193"/>
      <c r="B56" s="132"/>
      <c r="C56" s="132"/>
      <c r="D56" s="194" t="s">
        <v>514</v>
      </c>
      <c r="E56" s="64">
        <f t="shared" si="13"/>
        <v>0</v>
      </c>
      <c r="F56" s="107"/>
      <c r="G56" s="69"/>
      <c r="H56" s="69"/>
      <c r="I56" s="69"/>
      <c r="J56" s="64">
        <f t="shared" si="14"/>
        <v>0</v>
      </c>
      <c r="K56" s="107"/>
      <c r="L56" s="107"/>
      <c r="M56" s="107"/>
      <c r="N56" s="107"/>
      <c r="O56" s="107">
        <f t="shared" ref="O56:O82" si="16">K56</f>
        <v>0</v>
      </c>
      <c r="P56" s="103">
        <f t="shared" si="15"/>
        <v>0</v>
      </c>
      <c r="Q56" s="6"/>
      <c r="R56" s="6"/>
      <c r="S56" s="6"/>
      <c r="T56" s="6"/>
      <c r="U56" s="6"/>
    </row>
    <row r="57" spans="1:21" x14ac:dyDescent="0.2">
      <c r="A57" s="193"/>
      <c r="B57" s="132"/>
      <c r="C57" s="132"/>
      <c r="D57" s="194" t="s">
        <v>87</v>
      </c>
      <c r="E57" s="64">
        <f t="shared" si="13"/>
        <v>198287500</v>
      </c>
      <c r="F57" s="107">
        <v>198287500</v>
      </c>
      <c r="G57" s="107">
        <v>162530779</v>
      </c>
      <c r="H57" s="69"/>
      <c r="I57" s="69"/>
      <c r="J57" s="68">
        <f t="shared" si="14"/>
        <v>0</v>
      </c>
      <c r="K57" s="69"/>
      <c r="L57" s="69"/>
      <c r="M57" s="69"/>
      <c r="N57" s="69"/>
      <c r="O57" s="69">
        <f t="shared" si="16"/>
        <v>0</v>
      </c>
      <c r="P57" s="88">
        <f t="shared" si="15"/>
        <v>198287500</v>
      </c>
      <c r="Q57" s="6"/>
      <c r="R57" s="6"/>
      <c r="S57" s="6"/>
      <c r="T57" s="6"/>
      <c r="U57" s="6"/>
    </row>
    <row r="58" spans="1:21" ht="25.5" hidden="1" customHeight="1" x14ac:dyDescent="0.2">
      <c r="A58" s="193"/>
      <c r="B58" s="132"/>
      <c r="C58" s="132"/>
      <c r="D58" s="194" t="s">
        <v>164</v>
      </c>
      <c r="E58" s="64">
        <f t="shared" si="13"/>
        <v>0</v>
      </c>
      <c r="F58" s="69"/>
      <c r="G58" s="69"/>
      <c r="H58" s="69"/>
      <c r="I58" s="69"/>
      <c r="J58" s="68">
        <f t="shared" si="14"/>
        <v>0</v>
      </c>
      <c r="K58" s="69"/>
      <c r="L58" s="69"/>
      <c r="M58" s="69"/>
      <c r="N58" s="69"/>
      <c r="O58" s="69">
        <f>K58</f>
        <v>0</v>
      </c>
      <c r="P58" s="88">
        <f>E58+J58</f>
        <v>0</v>
      </c>
      <c r="Q58" s="6"/>
      <c r="R58" s="6"/>
      <c r="S58" s="6"/>
      <c r="T58" s="6"/>
      <c r="U58" s="6"/>
    </row>
    <row r="59" spans="1:21" hidden="1" x14ac:dyDescent="0.2">
      <c r="A59" s="193">
        <v>1011030</v>
      </c>
      <c r="B59" s="132" t="s">
        <v>124</v>
      </c>
      <c r="C59" s="132" t="s">
        <v>139</v>
      </c>
      <c r="D59" s="37" t="s">
        <v>88</v>
      </c>
      <c r="E59" s="64">
        <f t="shared" si="13"/>
        <v>0</v>
      </c>
      <c r="F59" s="69"/>
      <c r="G59" s="69"/>
      <c r="H59" s="69"/>
      <c r="I59" s="69"/>
      <c r="J59" s="68">
        <f t="shared" si="14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s="13" customFormat="1" ht="29.25" hidden="1" customHeight="1" x14ac:dyDescent="0.2">
      <c r="A60" s="195"/>
      <c r="B60" s="134"/>
      <c r="C60" s="134"/>
      <c r="D60" s="138" t="s">
        <v>612</v>
      </c>
      <c r="E60" s="64">
        <f t="shared" si="13"/>
        <v>0</v>
      </c>
      <c r="F60" s="107"/>
      <c r="G60" s="107"/>
      <c r="H60" s="107"/>
      <c r="I60" s="107"/>
      <c r="J60" s="68">
        <f t="shared" si="14"/>
        <v>0</v>
      </c>
      <c r="K60" s="107"/>
      <c r="L60" s="107"/>
      <c r="M60" s="107"/>
      <c r="N60" s="107"/>
      <c r="O60" s="69">
        <f>K60</f>
        <v>0</v>
      </c>
      <c r="P60" s="88">
        <f>E60+J60</f>
        <v>0</v>
      </c>
      <c r="Q60" s="11"/>
      <c r="R60" s="11"/>
      <c r="S60" s="11"/>
      <c r="T60" s="11"/>
      <c r="U60" s="11"/>
    </row>
    <row r="61" spans="1:21" ht="38.25" x14ac:dyDescent="0.2">
      <c r="A61" s="193"/>
      <c r="B61" s="132"/>
      <c r="C61" s="132"/>
      <c r="D61" s="138" t="s">
        <v>599</v>
      </c>
      <c r="E61" s="64">
        <f t="shared" si="13"/>
        <v>628172</v>
      </c>
      <c r="F61" s="69">
        <v>628172</v>
      </c>
      <c r="G61" s="69">
        <v>21737</v>
      </c>
      <c r="H61" s="69"/>
      <c r="I61" s="69"/>
      <c r="J61" s="68">
        <f t="shared" si="14"/>
        <v>2657975</v>
      </c>
      <c r="K61" s="69">
        <f>2854434-196459</f>
        <v>2657975</v>
      </c>
      <c r="L61" s="69"/>
      <c r="M61" s="69"/>
      <c r="N61" s="69"/>
      <c r="O61" s="69">
        <f>K61</f>
        <v>2657975</v>
      </c>
      <c r="P61" s="88">
        <f>E61+J61</f>
        <v>3286147</v>
      </c>
      <c r="Q61" s="6"/>
      <c r="R61" s="6"/>
      <c r="S61" s="6"/>
      <c r="T61" s="6"/>
      <c r="U61" s="6"/>
    </row>
    <row r="62" spans="1:21" ht="25.5" x14ac:dyDescent="0.2">
      <c r="A62" s="193"/>
      <c r="B62" s="132"/>
      <c r="C62" s="132"/>
      <c r="D62" s="138" t="s">
        <v>497</v>
      </c>
      <c r="E62" s="64">
        <f t="shared" si="13"/>
        <v>1000000</v>
      </c>
      <c r="F62" s="107">
        <v>1000000</v>
      </c>
      <c r="G62" s="107"/>
      <c r="H62" s="107"/>
      <c r="I62" s="107"/>
      <c r="J62" s="64">
        <f t="shared" si="14"/>
        <v>2173400</v>
      </c>
      <c r="K62" s="107">
        <v>2173400</v>
      </c>
      <c r="L62" s="107"/>
      <c r="M62" s="107"/>
      <c r="N62" s="107"/>
      <c r="O62" s="107">
        <f t="shared" si="16"/>
        <v>2173400</v>
      </c>
      <c r="P62" s="88">
        <f t="shared" si="15"/>
        <v>3173400</v>
      </c>
      <c r="Q62" s="6"/>
      <c r="R62" s="6"/>
      <c r="S62" s="6"/>
      <c r="T62" s="6"/>
      <c r="U62" s="6"/>
    </row>
    <row r="63" spans="1:21" ht="25.5" hidden="1" x14ac:dyDescent="0.2">
      <c r="A63" s="193"/>
      <c r="B63" s="132"/>
      <c r="C63" s="132"/>
      <c r="D63" s="138" t="s">
        <v>510</v>
      </c>
      <c r="E63" s="64">
        <f t="shared" si="13"/>
        <v>0</v>
      </c>
      <c r="F63" s="107"/>
      <c r="G63" s="107"/>
      <c r="H63" s="107"/>
      <c r="I63" s="107"/>
      <c r="J63" s="64">
        <f t="shared" si="14"/>
        <v>0</v>
      </c>
      <c r="K63" s="107"/>
      <c r="L63" s="107"/>
      <c r="M63" s="107"/>
      <c r="N63" s="107"/>
      <c r="O63" s="107">
        <f t="shared" si="16"/>
        <v>0</v>
      </c>
      <c r="P63" s="88">
        <f t="shared" si="15"/>
        <v>0</v>
      </c>
      <c r="Q63" s="6"/>
      <c r="R63" s="6"/>
      <c r="S63" s="6"/>
      <c r="T63" s="6"/>
      <c r="U63" s="6"/>
    </row>
    <row r="64" spans="1:21" ht="25.5" x14ac:dyDescent="0.2">
      <c r="A64" s="193" t="s">
        <v>632</v>
      </c>
      <c r="B64" s="132" t="s">
        <v>124</v>
      </c>
      <c r="C64" s="132" t="s">
        <v>109</v>
      </c>
      <c r="D64" s="136" t="s">
        <v>631</v>
      </c>
      <c r="E64" s="68">
        <f t="shared" si="13"/>
        <v>2565586</v>
      </c>
      <c r="F64" s="69">
        <v>2565586</v>
      </c>
      <c r="G64" s="69">
        <v>1971733</v>
      </c>
      <c r="H64" s="69"/>
      <c r="I64" s="69"/>
      <c r="J64" s="68">
        <f t="shared" si="14"/>
        <v>522044</v>
      </c>
      <c r="K64" s="69">
        <v>522044</v>
      </c>
      <c r="L64" s="69"/>
      <c r="M64" s="69"/>
      <c r="N64" s="69"/>
      <c r="O64" s="69">
        <f t="shared" si="16"/>
        <v>522044</v>
      </c>
      <c r="P64" s="88">
        <f t="shared" si="15"/>
        <v>3087630</v>
      </c>
      <c r="Q64" s="6"/>
      <c r="R64" s="6"/>
      <c r="S64" s="6"/>
      <c r="T64" s="6"/>
      <c r="U64" s="6"/>
    </row>
    <row r="65" spans="1:21" x14ac:dyDescent="0.2">
      <c r="A65" s="193"/>
      <c r="B65" s="132"/>
      <c r="C65" s="132"/>
      <c r="D65" s="138" t="s">
        <v>87</v>
      </c>
      <c r="E65" s="68">
        <f t="shared" si="13"/>
        <v>1756800</v>
      </c>
      <c r="F65" s="69">
        <v>1756800</v>
      </c>
      <c r="G65" s="69">
        <v>1440000</v>
      </c>
      <c r="H65" s="69"/>
      <c r="I65" s="69"/>
      <c r="J65" s="68">
        <f t="shared" si="14"/>
        <v>0</v>
      </c>
      <c r="K65" s="69"/>
      <c r="L65" s="69"/>
      <c r="M65" s="69"/>
      <c r="N65" s="69"/>
      <c r="O65" s="69">
        <f t="shared" si="16"/>
        <v>0</v>
      </c>
      <c r="P65" s="88">
        <f t="shared" si="15"/>
        <v>1756800</v>
      </c>
      <c r="Q65" s="6"/>
      <c r="R65" s="6"/>
      <c r="S65" s="6"/>
      <c r="T65" s="6"/>
      <c r="U65" s="6"/>
    </row>
    <row r="66" spans="1:21" ht="25.5" hidden="1" x14ac:dyDescent="0.2">
      <c r="A66" s="193"/>
      <c r="B66" s="132"/>
      <c r="C66" s="132"/>
      <c r="D66" s="138" t="s">
        <v>497</v>
      </c>
      <c r="E66" s="68"/>
      <c r="F66" s="69"/>
      <c r="G66" s="69"/>
      <c r="H66" s="69"/>
      <c r="I66" s="69"/>
      <c r="J66" s="68">
        <f t="shared" si="14"/>
        <v>0</v>
      </c>
      <c r="K66" s="69"/>
      <c r="L66" s="69"/>
      <c r="M66" s="69"/>
      <c r="N66" s="69"/>
      <c r="O66" s="69">
        <f>K66</f>
        <v>0</v>
      </c>
      <c r="P66" s="88">
        <f t="shared" si="15"/>
        <v>0</v>
      </c>
      <c r="Q66" s="6"/>
      <c r="R66" s="6"/>
      <c r="S66" s="6"/>
      <c r="T66" s="6"/>
      <c r="U66" s="6"/>
    </row>
    <row r="67" spans="1:21" s="13" customFormat="1" ht="38.25" x14ac:dyDescent="0.2">
      <c r="A67" s="195"/>
      <c r="B67" s="134"/>
      <c r="C67" s="134"/>
      <c r="D67" s="194" t="s">
        <v>531</v>
      </c>
      <c r="E67" s="64">
        <f>F67+I67</f>
        <v>648786</v>
      </c>
      <c r="F67" s="107">
        <v>648786</v>
      </c>
      <c r="G67" s="107">
        <v>531733</v>
      </c>
      <c r="H67" s="107"/>
      <c r="I67" s="107"/>
      <c r="J67" s="64">
        <f>L67+O67</f>
        <v>522044</v>
      </c>
      <c r="K67" s="107">
        <v>522044</v>
      </c>
      <c r="L67" s="107"/>
      <c r="M67" s="107"/>
      <c r="N67" s="107"/>
      <c r="O67" s="107">
        <f t="shared" si="16"/>
        <v>522044</v>
      </c>
      <c r="P67" s="103">
        <f t="shared" si="15"/>
        <v>1170830</v>
      </c>
      <c r="Q67" s="11"/>
      <c r="R67" s="11"/>
      <c r="S67" s="11"/>
      <c r="T67" s="11"/>
      <c r="U67" s="11"/>
    </row>
    <row r="68" spans="1:21" ht="25.5" x14ac:dyDescent="0.2">
      <c r="A68" s="193" t="s">
        <v>203</v>
      </c>
      <c r="B68" s="132" t="s">
        <v>123</v>
      </c>
      <c r="C68" s="132" t="s">
        <v>140</v>
      </c>
      <c r="D68" s="133" t="s">
        <v>633</v>
      </c>
      <c r="E68" s="68">
        <f t="shared" si="13"/>
        <v>23247100</v>
      </c>
      <c r="F68" s="69">
        <f>23942100+36000-700000+5000-36000</f>
        <v>23247100</v>
      </c>
      <c r="G68" s="69">
        <f>17248400-700000</f>
        <v>16548400</v>
      </c>
      <c r="H68" s="69">
        <v>2208400</v>
      </c>
      <c r="I68" s="69"/>
      <c r="J68" s="68">
        <f>L68+O68</f>
        <v>1323600</v>
      </c>
      <c r="K68" s="69">
        <f>317000-14000</f>
        <v>303000</v>
      </c>
      <c r="L68" s="69">
        <v>977200</v>
      </c>
      <c r="M68" s="69">
        <v>222700</v>
      </c>
      <c r="N68" s="69">
        <v>23870</v>
      </c>
      <c r="O68" s="107">
        <f>K68+43400</f>
        <v>346400</v>
      </c>
      <c r="P68" s="88">
        <f>E68+J68</f>
        <v>24570700</v>
      </c>
      <c r="Q68" s="6"/>
      <c r="R68" s="6"/>
      <c r="S68" s="6"/>
      <c r="T68" s="6"/>
      <c r="U68" s="6"/>
    </row>
    <row r="69" spans="1:21" s="13" customFormat="1" x14ac:dyDescent="0.2">
      <c r="A69" s="195"/>
      <c r="B69" s="134"/>
      <c r="C69" s="134"/>
      <c r="D69" s="127" t="s">
        <v>514</v>
      </c>
      <c r="E69" s="68">
        <f t="shared" si="13"/>
        <v>0</v>
      </c>
      <c r="F69" s="107"/>
      <c r="G69" s="107"/>
      <c r="H69" s="107"/>
      <c r="I69" s="107"/>
      <c r="J69" s="68">
        <f>L69+O69</f>
        <v>0</v>
      </c>
      <c r="K69" s="107"/>
      <c r="L69" s="107"/>
      <c r="M69" s="107"/>
      <c r="N69" s="107"/>
      <c r="O69" s="107">
        <f t="shared" si="16"/>
        <v>0</v>
      </c>
      <c r="P69" s="103">
        <f>E69+J69</f>
        <v>0</v>
      </c>
      <c r="Q69" s="11"/>
      <c r="R69" s="11"/>
      <c r="S69" s="11"/>
      <c r="T69" s="11"/>
      <c r="U69" s="11"/>
    </row>
    <row r="70" spans="1:21" ht="25.5" x14ac:dyDescent="0.2">
      <c r="A70" s="193" t="s">
        <v>205</v>
      </c>
      <c r="B70" s="132" t="s">
        <v>204</v>
      </c>
      <c r="C70" s="132" t="s">
        <v>141</v>
      </c>
      <c r="D70" s="133" t="s">
        <v>634</v>
      </c>
      <c r="E70" s="68">
        <f t="shared" si="13"/>
        <v>4720400</v>
      </c>
      <c r="F70" s="69">
        <v>4720400</v>
      </c>
      <c r="G70" s="69">
        <v>2819500</v>
      </c>
      <c r="H70" s="69">
        <v>1028400</v>
      </c>
      <c r="I70" s="69"/>
      <c r="J70" s="68">
        <f t="shared" si="14"/>
        <v>272200</v>
      </c>
      <c r="K70" s="69">
        <v>272200</v>
      </c>
      <c r="L70" s="69"/>
      <c r="M70" s="69"/>
      <c r="N70" s="69"/>
      <c r="O70" s="69">
        <f t="shared" si="16"/>
        <v>272200</v>
      </c>
      <c r="P70" s="88">
        <f t="shared" si="15"/>
        <v>4992600</v>
      </c>
      <c r="Q70" s="6"/>
      <c r="R70" s="6"/>
      <c r="S70" s="6"/>
      <c r="T70" s="6"/>
      <c r="U70" s="6"/>
    </row>
    <row r="71" spans="1:21" hidden="1" x14ac:dyDescent="0.2">
      <c r="A71" s="193">
        <v>1011190</v>
      </c>
      <c r="B71" s="132" t="s">
        <v>30</v>
      </c>
      <c r="C71" s="132" t="s">
        <v>141</v>
      </c>
      <c r="D71" s="133" t="s">
        <v>89</v>
      </c>
      <c r="E71" s="68">
        <f t="shared" si="13"/>
        <v>0</v>
      </c>
      <c r="F71" s="69"/>
      <c r="G71" s="69"/>
      <c r="H71" s="69"/>
      <c r="I71" s="69"/>
      <c r="J71" s="68">
        <f t="shared" si="14"/>
        <v>0</v>
      </c>
      <c r="K71" s="69"/>
      <c r="L71" s="69"/>
      <c r="M71" s="69"/>
      <c r="N71" s="69"/>
      <c r="O71" s="69">
        <f t="shared" si="16"/>
        <v>0</v>
      </c>
      <c r="P71" s="88">
        <f t="shared" si="15"/>
        <v>0</v>
      </c>
      <c r="Q71" s="6"/>
      <c r="R71" s="6"/>
      <c r="S71" s="6"/>
      <c r="T71" s="6"/>
      <c r="U71" s="6"/>
    </row>
    <row r="72" spans="1:21" hidden="1" x14ac:dyDescent="0.2">
      <c r="A72" s="193">
        <v>1011200</v>
      </c>
      <c r="B72" s="132" t="s">
        <v>31</v>
      </c>
      <c r="C72" s="132" t="s">
        <v>141</v>
      </c>
      <c r="D72" s="133" t="s">
        <v>90</v>
      </c>
      <c r="E72" s="68">
        <f t="shared" si="13"/>
        <v>0</v>
      </c>
      <c r="F72" s="69"/>
      <c r="G72" s="69"/>
      <c r="H72" s="69"/>
      <c r="I72" s="69"/>
      <c r="J72" s="68">
        <f t="shared" si="14"/>
        <v>0</v>
      </c>
      <c r="K72" s="69"/>
      <c r="L72" s="69"/>
      <c r="M72" s="69"/>
      <c r="N72" s="69"/>
      <c r="O72" s="69">
        <f t="shared" si="16"/>
        <v>0</v>
      </c>
      <c r="P72" s="88">
        <f t="shared" si="15"/>
        <v>0</v>
      </c>
      <c r="Q72" s="6"/>
      <c r="R72" s="6"/>
      <c r="S72" s="6"/>
      <c r="T72" s="6"/>
      <c r="U72" s="6"/>
    </row>
    <row r="73" spans="1:21" hidden="1" x14ac:dyDescent="0.2">
      <c r="A73" s="193" t="s">
        <v>208</v>
      </c>
      <c r="B73" s="132" t="s">
        <v>207</v>
      </c>
      <c r="C73" s="132"/>
      <c r="D73" s="108" t="s">
        <v>206</v>
      </c>
      <c r="E73" s="68">
        <f t="shared" si="13"/>
        <v>0</v>
      </c>
      <c r="F73" s="69"/>
      <c r="G73" s="69"/>
      <c r="H73" s="69"/>
      <c r="I73" s="69"/>
      <c r="J73" s="68">
        <f t="shared" si="14"/>
        <v>76400</v>
      </c>
      <c r="K73" s="69">
        <f>K74+K77</f>
        <v>76400</v>
      </c>
      <c r="L73" s="69">
        <f>L74+L77</f>
        <v>0</v>
      </c>
      <c r="M73" s="69">
        <f>M74+M77</f>
        <v>0</v>
      </c>
      <c r="N73" s="69">
        <f>N74+N77</f>
        <v>0</v>
      </c>
      <c r="O73" s="69">
        <f t="shared" si="16"/>
        <v>76400</v>
      </c>
      <c r="P73" s="88">
        <f t="shared" si="15"/>
        <v>76400</v>
      </c>
      <c r="Q73" s="6"/>
      <c r="R73" s="6"/>
      <c r="S73" s="6"/>
      <c r="T73" s="6"/>
      <c r="U73" s="6"/>
    </row>
    <row r="74" spans="1:21" s="13" customFormat="1" x14ac:dyDescent="0.2">
      <c r="A74" s="195" t="s">
        <v>418</v>
      </c>
      <c r="B74" s="134" t="s">
        <v>416</v>
      </c>
      <c r="C74" s="134" t="s">
        <v>141</v>
      </c>
      <c r="D74" s="34" t="s">
        <v>420</v>
      </c>
      <c r="E74" s="64">
        <f>F74+I74</f>
        <v>6263300</v>
      </c>
      <c r="F74" s="107">
        <v>6263300</v>
      </c>
      <c r="G74" s="107">
        <v>4949800</v>
      </c>
      <c r="H74" s="107"/>
      <c r="I74" s="107"/>
      <c r="J74" s="64">
        <f t="shared" si="14"/>
        <v>76400</v>
      </c>
      <c r="K74" s="107">
        <v>76400</v>
      </c>
      <c r="L74" s="107"/>
      <c r="M74" s="107"/>
      <c r="N74" s="107"/>
      <c r="O74" s="107">
        <f t="shared" si="16"/>
        <v>76400</v>
      </c>
      <c r="P74" s="103">
        <f t="shared" si="15"/>
        <v>6339700</v>
      </c>
      <c r="Q74" s="11"/>
      <c r="R74" s="11"/>
      <c r="S74" s="11"/>
      <c r="T74" s="11"/>
      <c r="U74" s="11"/>
    </row>
    <row r="75" spans="1:21" s="13" customFormat="1" hidden="1" x14ac:dyDescent="0.2">
      <c r="A75" s="195"/>
      <c r="B75" s="134"/>
      <c r="C75" s="134"/>
      <c r="D75" s="34" t="s">
        <v>581</v>
      </c>
      <c r="E75" s="64"/>
      <c r="F75" s="107"/>
      <c r="G75" s="107"/>
      <c r="H75" s="107"/>
      <c r="I75" s="107"/>
      <c r="J75" s="64"/>
      <c r="K75" s="107"/>
      <c r="L75" s="107"/>
      <c r="M75" s="107"/>
      <c r="N75" s="107"/>
      <c r="O75" s="107"/>
      <c r="P75" s="103"/>
      <c r="Q75" s="11"/>
      <c r="R75" s="11"/>
      <c r="S75" s="11"/>
      <c r="T75" s="11"/>
      <c r="U75" s="11"/>
    </row>
    <row r="76" spans="1:21" s="13" customFormat="1" ht="38.25" hidden="1" x14ac:dyDescent="0.2">
      <c r="A76" s="195"/>
      <c r="B76" s="134"/>
      <c r="C76" s="134"/>
      <c r="D76" s="34" t="s">
        <v>531</v>
      </c>
      <c r="E76" s="64"/>
      <c r="F76" s="107"/>
      <c r="G76" s="107"/>
      <c r="H76" s="107"/>
      <c r="I76" s="107"/>
      <c r="J76" s="64">
        <f t="shared" si="14"/>
        <v>0</v>
      </c>
      <c r="K76" s="107"/>
      <c r="L76" s="107"/>
      <c r="M76" s="107"/>
      <c r="N76" s="107"/>
      <c r="O76" s="107">
        <f t="shared" si="16"/>
        <v>0</v>
      </c>
      <c r="P76" s="103">
        <f t="shared" si="15"/>
        <v>0</v>
      </c>
      <c r="Q76" s="11"/>
      <c r="R76" s="11"/>
      <c r="S76" s="11"/>
      <c r="T76" s="11"/>
      <c r="U76" s="11"/>
    </row>
    <row r="77" spans="1:21" s="13" customFormat="1" x14ac:dyDescent="0.2">
      <c r="A77" s="195" t="s">
        <v>419</v>
      </c>
      <c r="B77" s="134" t="s">
        <v>417</v>
      </c>
      <c r="C77" s="134" t="s">
        <v>141</v>
      </c>
      <c r="D77" s="34" t="s">
        <v>421</v>
      </c>
      <c r="E77" s="64">
        <f t="shared" si="13"/>
        <v>477000</v>
      </c>
      <c r="F77" s="107">
        <v>477000</v>
      </c>
      <c r="G77" s="107"/>
      <c r="H77" s="107"/>
      <c r="I77" s="107"/>
      <c r="J77" s="64">
        <f t="shared" si="14"/>
        <v>0</v>
      </c>
      <c r="K77" s="107"/>
      <c r="L77" s="107"/>
      <c r="M77" s="107"/>
      <c r="N77" s="107"/>
      <c r="O77" s="107">
        <f t="shared" si="16"/>
        <v>0</v>
      </c>
      <c r="P77" s="103">
        <f t="shared" si="15"/>
        <v>477000</v>
      </c>
      <c r="Q77" s="11"/>
      <c r="R77" s="11"/>
      <c r="S77" s="11"/>
      <c r="T77" s="11"/>
      <c r="U77" s="11"/>
    </row>
    <row r="78" spans="1:21" s="27" customFormat="1" x14ac:dyDescent="0.2">
      <c r="A78" s="52" t="s">
        <v>454</v>
      </c>
      <c r="B78" s="139" t="s">
        <v>23</v>
      </c>
      <c r="C78" s="139" t="s">
        <v>141</v>
      </c>
      <c r="D78" s="76" t="s">
        <v>595</v>
      </c>
      <c r="E78" s="68">
        <f t="shared" si="13"/>
        <v>3242849</v>
      </c>
      <c r="F78" s="69">
        <f>441800+3075849-274800</f>
        <v>3242849</v>
      </c>
      <c r="G78" s="69">
        <f>314200+2500000-225300</f>
        <v>2588900</v>
      </c>
      <c r="H78" s="69"/>
      <c r="I78" s="69"/>
      <c r="J78" s="68">
        <f t="shared" si="14"/>
        <v>0</v>
      </c>
      <c r="K78" s="69"/>
      <c r="L78" s="69"/>
      <c r="M78" s="69"/>
      <c r="N78" s="69"/>
      <c r="O78" s="69">
        <f t="shared" si="16"/>
        <v>0</v>
      </c>
      <c r="P78" s="88">
        <f t="shared" si="15"/>
        <v>3242849</v>
      </c>
      <c r="Q78" s="28"/>
      <c r="R78" s="28"/>
      <c r="S78" s="28"/>
      <c r="T78" s="28"/>
      <c r="U78" s="28"/>
    </row>
    <row r="79" spans="1:21" s="13" customFormat="1" hidden="1" x14ac:dyDescent="0.2">
      <c r="A79" s="50"/>
      <c r="B79" s="47"/>
      <c r="C79" s="47"/>
      <c r="D79" s="34" t="s">
        <v>581</v>
      </c>
      <c r="E79" s="68">
        <f t="shared" si="13"/>
        <v>0</v>
      </c>
      <c r="F79" s="107"/>
      <c r="G79" s="107"/>
      <c r="H79" s="107"/>
      <c r="I79" s="107"/>
      <c r="J79" s="68">
        <f t="shared" si="14"/>
        <v>0</v>
      </c>
      <c r="K79" s="107"/>
      <c r="L79" s="107"/>
      <c r="M79" s="107"/>
      <c r="N79" s="107"/>
      <c r="O79" s="69">
        <f t="shared" si="16"/>
        <v>0</v>
      </c>
      <c r="P79" s="88">
        <f t="shared" si="15"/>
        <v>0</v>
      </c>
      <c r="Q79" s="11"/>
      <c r="R79" s="11"/>
      <c r="S79" s="11"/>
      <c r="T79" s="11"/>
      <c r="U79" s="11"/>
    </row>
    <row r="80" spans="1:21" s="13" customFormat="1" ht="25.5" x14ac:dyDescent="0.2">
      <c r="A80" s="50"/>
      <c r="B80" s="47"/>
      <c r="C80" s="47"/>
      <c r="D80" s="55" t="s">
        <v>598</v>
      </c>
      <c r="E80" s="68">
        <f t="shared" si="13"/>
        <v>3075849</v>
      </c>
      <c r="F80" s="107">
        <v>3075849</v>
      </c>
      <c r="G80" s="107">
        <v>2500000</v>
      </c>
      <c r="H80" s="107"/>
      <c r="I80" s="107"/>
      <c r="J80" s="68">
        <f t="shared" si="14"/>
        <v>0</v>
      </c>
      <c r="K80" s="107"/>
      <c r="L80" s="107"/>
      <c r="M80" s="107"/>
      <c r="N80" s="107"/>
      <c r="O80" s="69">
        <f t="shared" si="16"/>
        <v>0</v>
      </c>
      <c r="P80" s="88">
        <f t="shared" si="15"/>
        <v>3075849</v>
      </c>
      <c r="Q80" s="11"/>
      <c r="R80" s="11"/>
      <c r="S80" s="11"/>
      <c r="T80" s="11"/>
      <c r="U80" s="11"/>
    </row>
    <row r="81" spans="1:21" s="13" customFormat="1" hidden="1" x14ac:dyDescent="0.2">
      <c r="A81" s="50"/>
      <c r="B81" s="47"/>
      <c r="C81" s="47"/>
      <c r="D81" s="34" t="s">
        <v>514</v>
      </c>
      <c r="E81" s="68">
        <f t="shared" si="13"/>
        <v>0</v>
      </c>
      <c r="F81" s="107"/>
      <c r="G81" s="107"/>
      <c r="H81" s="107"/>
      <c r="I81" s="107"/>
      <c r="J81" s="68">
        <f t="shared" si="14"/>
        <v>0</v>
      </c>
      <c r="K81" s="107"/>
      <c r="L81" s="107"/>
      <c r="M81" s="107"/>
      <c r="N81" s="107"/>
      <c r="O81" s="69">
        <f t="shared" si="16"/>
        <v>0</v>
      </c>
      <c r="P81" s="88">
        <f t="shared" si="15"/>
        <v>0</v>
      </c>
      <c r="Q81" s="11"/>
      <c r="R81" s="11"/>
      <c r="S81" s="11"/>
      <c r="T81" s="11"/>
      <c r="U81" s="11"/>
    </row>
    <row r="82" spans="1:21" s="27" customFormat="1" hidden="1" x14ac:dyDescent="0.2">
      <c r="A82" s="52" t="s">
        <v>627</v>
      </c>
      <c r="B82" s="139" t="s">
        <v>193</v>
      </c>
      <c r="C82" s="39" t="s">
        <v>128</v>
      </c>
      <c r="D82" s="40" t="s">
        <v>194</v>
      </c>
      <c r="E82" s="68"/>
      <c r="F82" s="69"/>
      <c r="G82" s="69"/>
      <c r="H82" s="69"/>
      <c r="I82" s="69"/>
      <c r="J82" s="68">
        <f t="shared" si="14"/>
        <v>0</v>
      </c>
      <c r="K82" s="69"/>
      <c r="L82" s="69"/>
      <c r="M82" s="69"/>
      <c r="N82" s="69"/>
      <c r="O82" s="69">
        <f t="shared" si="16"/>
        <v>0</v>
      </c>
      <c r="P82" s="88">
        <f t="shared" si="15"/>
        <v>0</v>
      </c>
      <c r="Q82" s="28"/>
      <c r="R82" s="28"/>
      <c r="S82" s="28"/>
      <c r="T82" s="28"/>
      <c r="U82" s="28"/>
    </row>
    <row r="83" spans="1:21" x14ac:dyDescent="0.2">
      <c r="A83" s="53" t="s">
        <v>175</v>
      </c>
      <c r="B83" s="80"/>
      <c r="C83" s="81"/>
      <c r="D83" s="82" t="s">
        <v>94</v>
      </c>
      <c r="E83" s="100">
        <f>E92</f>
        <v>117100401</v>
      </c>
      <c r="F83" s="100">
        <f t="shared" ref="F83:O83" si="17">F92</f>
        <v>117100401</v>
      </c>
      <c r="G83" s="100">
        <f t="shared" si="17"/>
        <v>1762400</v>
      </c>
      <c r="H83" s="100">
        <f t="shared" si="17"/>
        <v>11500</v>
      </c>
      <c r="I83" s="100">
        <f t="shared" si="17"/>
        <v>0</v>
      </c>
      <c r="J83" s="100">
        <f t="shared" si="17"/>
        <v>9596107</v>
      </c>
      <c r="K83" s="100">
        <f>K92</f>
        <v>9596107</v>
      </c>
      <c r="L83" s="100">
        <f t="shared" si="17"/>
        <v>0</v>
      </c>
      <c r="M83" s="100">
        <f t="shared" si="17"/>
        <v>0</v>
      </c>
      <c r="N83" s="100">
        <f t="shared" si="17"/>
        <v>0</v>
      </c>
      <c r="O83" s="100">
        <f t="shared" si="17"/>
        <v>9596107</v>
      </c>
      <c r="P83" s="88">
        <f t="shared" si="15"/>
        <v>126696508</v>
      </c>
      <c r="Q83" s="204"/>
      <c r="R83" s="190"/>
      <c r="S83" s="6"/>
      <c r="T83" s="6"/>
      <c r="U83" s="6"/>
    </row>
    <row r="84" spans="1:21" s="13" customFormat="1" x14ac:dyDescent="0.2">
      <c r="A84" s="50"/>
      <c r="B84" s="66"/>
      <c r="C84" s="30"/>
      <c r="D84" s="54" t="s">
        <v>96</v>
      </c>
      <c r="E84" s="64">
        <f>F84+I84</f>
        <v>30550600</v>
      </c>
      <c r="F84" s="67">
        <f>F95+F101+F114+F107</f>
        <v>30550600</v>
      </c>
      <c r="G84" s="67">
        <f>SUM(G95+G98+G101+G103+G117+G112+G130+G121+G125)</f>
        <v>0</v>
      </c>
      <c r="H84" s="67">
        <f>SUM(H95+H98+H101+H103+H117+H112+H130+H121+H125)</f>
        <v>0</v>
      </c>
      <c r="I84" s="67">
        <f>SUM(I95+I98+I101+I103+I117+I112+I130+I121+I125)</f>
        <v>0</v>
      </c>
      <c r="J84" s="67">
        <f>SUM(J95+J101+J103+J117+J112+J130)</f>
        <v>0</v>
      </c>
      <c r="K84" s="67">
        <f>SUM(K95+K101+K103+K117+K112+K130)</f>
        <v>0</v>
      </c>
      <c r="L84" s="67">
        <f>SUM(L95+L98+L101+L103+L117+L112+L130)</f>
        <v>0</v>
      </c>
      <c r="M84" s="67">
        <f>SUM(M95+M98+M101+M103+M117+M112+M130)</f>
        <v>0</v>
      </c>
      <c r="N84" s="67">
        <f>SUM(N95+N98+N101+N103+N117+N112+N130)</f>
        <v>0</v>
      </c>
      <c r="O84" s="67">
        <f>SUM(O95+O101+O103+O117+O112+O130)</f>
        <v>0</v>
      </c>
      <c r="P84" s="103">
        <f t="shared" si="15"/>
        <v>30550600</v>
      </c>
      <c r="Q84" s="11"/>
      <c r="R84" s="11"/>
      <c r="S84" s="11"/>
      <c r="T84" s="11"/>
      <c r="U84" s="11"/>
    </row>
    <row r="85" spans="1:21" s="13" customFormat="1" ht="25.5" hidden="1" x14ac:dyDescent="0.2">
      <c r="A85" s="50"/>
      <c r="B85" s="66"/>
      <c r="C85" s="30"/>
      <c r="D85" s="54" t="s">
        <v>498</v>
      </c>
      <c r="E85" s="64">
        <f>F85+I85</f>
        <v>0</v>
      </c>
      <c r="F85" s="67">
        <f>F108+F98</f>
        <v>0</v>
      </c>
      <c r="G85" s="67"/>
      <c r="H85" s="67"/>
      <c r="I85" s="67"/>
      <c r="J85" s="67">
        <f>L85+O85</f>
        <v>0</v>
      </c>
      <c r="K85" s="67">
        <f>K108+K98+K104+K115</f>
        <v>0</v>
      </c>
      <c r="L85" s="67"/>
      <c r="M85" s="67"/>
      <c r="N85" s="67"/>
      <c r="O85" s="67">
        <f>K85</f>
        <v>0</v>
      </c>
      <c r="P85" s="103">
        <f t="shared" si="15"/>
        <v>0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511</v>
      </c>
      <c r="E86" s="64">
        <f>F86+I86</f>
        <v>0</v>
      </c>
      <c r="F86" s="67"/>
      <c r="G86" s="67"/>
      <c r="H86" s="67"/>
      <c r="I86" s="67"/>
      <c r="J86" s="67">
        <f>L86+O86</f>
        <v>0</v>
      </c>
      <c r="K86" s="67">
        <f>K135</f>
        <v>0</v>
      </c>
      <c r="L86" s="67"/>
      <c r="M86" s="67"/>
      <c r="N86" s="67"/>
      <c r="O86" s="67">
        <f>O135</f>
        <v>0</v>
      </c>
      <c r="P86" s="103">
        <f t="shared" si="15"/>
        <v>0</v>
      </c>
      <c r="Q86" s="11"/>
      <c r="R86" s="11"/>
      <c r="S86" s="11"/>
      <c r="T86" s="11"/>
      <c r="U86" s="11"/>
    </row>
    <row r="87" spans="1:21" s="13" customFormat="1" x14ac:dyDescent="0.2">
      <c r="A87" s="50"/>
      <c r="B87" s="66"/>
      <c r="C87" s="30"/>
      <c r="D87" s="54" t="s">
        <v>514</v>
      </c>
      <c r="E87" s="64">
        <f>E131+E97</f>
        <v>215000</v>
      </c>
      <c r="F87" s="64">
        <f>F131+F97</f>
        <v>215000</v>
      </c>
      <c r="G87" s="64">
        <f>G131</f>
        <v>0</v>
      </c>
      <c r="H87" s="64">
        <f>H131</f>
        <v>0</v>
      </c>
      <c r="I87" s="64">
        <f>I131</f>
        <v>0</v>
      </c>
      <c r="J87" s="64">
        <f>K87+L87</f>
        <v>6147000</v>
      </c>
      <c r="K87" s="67">
        <f>K97</f>
        <v>6147000</v>
      </c>
      <c r="L87" s="67"/>
      <c r="M87" s="67"/>
      <c r="N87" s="67"/>
      <c r="O87" s="67">
        <f>K87</f>
        <v>6147000</v>
      </c>
      <c r="P87" s="103">
        <f t="shared" si="15"/>
        <v>6362000</v>
      </c>
      <c r="Q87" s="11"/>
      <c r="R87" s="11"/>
      <c r="S87" s="11"/>
      <c r="T87" s="11"/>
      <c r="U87" s="11"/>
    </row>
    <row r="88" spans="1:21" s="13" customFormat="1" ht="32.25" customHeight="1" x14ac:dyDescent="0.2">
      <c r="A88" s="50"/>
      <c r="B88" s="66"/>
      <c r="C88" s="30"/>
      <c r="D88" s="32" t="s">
        <v>642</v>
      </c>
      <c r="E88" s="64">
        <f>F88</f>
        <v>2285855</v>
      </c>
      <c r="F88" s="64">
        <f>F121</f>
        <v>2285855</v>
      </c>
      <c r="G88" s="64"/>
      <c r="H88" s="64"/>
      <c r="I88" s="64"/>
      <c r="J88" s="64"/>
      <c r="K88" s="67"/>
      <c r="L88" s="67"/>
      <c r="M88" s="67"/>
      <c r="N88" s="67"/>
      <c r="O88" s="67"/>
      <c r="P88" s="103">
        <f t="shared" si="15"/>
        <v>2285855</v>
      </c>
      <c r="Q88" s="11"/>
      <c r="R88" s="11"/>
      <c r="S88" s="11"/>
      <c r="T88" s="11"/>
      <c r="U88" s="11"/>
    </row>
    <row r="89" spans="1:21" s="13" customFormat="1" ht="29.25" customHeight="1" x14ac:dyDescent="0.2">
      <c r="A89" s="50"/>
      <c r="B89" s="66"/>
      <c r="C89" s="30"/>
      <c r="D89" s="32" t="s">
        <v>636</v>
      </c>
      <c r="E89" s="64">
        <f>E122</f>
        <v>204292</v>
      </c>
      <c r="F89" s="64">
        <f>F122</f>
        <v>204292</v>
      </c>
      <c r="G89" s="64"/>
      <c r="H89" s="64"/>
      <c r="I89" s="64"/>
      <c r="J89" s="64">
        <f>J99</f>
        <v>1857908</v>
      </c>
      <c r="K89" s="64">
        <f>K99</f>
        <v>1857908</v>
      </c>
      <c r="L89" s="67"/>
      <c r="M89" s="67"/>
      <c r="N89" s="67"/>
      <c r="O89" s="64">
        <f>O99</f>
        <v>1857908</v>
      </c>
      <c r="P89" s="103">
        <f t="shared" si="15"/>
        <v>2062200</v>
      </c>
      <c r="Q89" s="11"/>
      <c r="R89" s="11"/>
      <c r="S89" s="11"/>
      <c r="T89" s="11"/>
      <c r="U89" s="11"/>
    </row>
    <row r="90" spans="1:21" s="13" customFormat="1" ht="25.5" x14ac:dyDescent="0.2">
      <c r="A90" s="50"/>
      <c r="B90" s="66"/>
      <c r="C90" s="30"/>
      <c r="D90" s="32" t="s">
        <v>512</v>
      </c>
      <c r="E90" s="64">
        <f>F90</f>
        <v>737946</v>
      </c>
      <c r="F90" s="64">
        <f>F99+F105+F109+F123</f>
        <v>737946</v>
      </c>
      <c r="G90" s="64"/>
      <c r="H90" s="64"/>
      <c r="I90" s="64"/>
      <c r="J90" s="64">
        <f>J132</f>
        <v>0</v>
      </c>
      <c r="K90" s="67"/>
      <c r="L90" s="67"/>
      <c r="M90" s="67"/>
      <c r="N90" s="67"/>
      <c r="O90" s="67"/>
      <c r="P90" s="103">
        <f t="shared" si="15"/>
        <v>737946</v>
      </c>
      <c r="Q90" s="11"/>
      <c r="R90" s="11"/>
      <c r="S90" s="11"/>
      <c r="T90" s="11"/>
      <c r="U90" s="11"/>
    </row>
    <row r="91" spans="1:21" s="13" customFormat="1" ht="25.5" x14ac:dyDescent="0.2">
      <c r="A91" s="50"/>
      <c r="B91" s="66"/>
      <c r="C91" s="30"/>
      <c r="D91" s="54" t="s">
        <v>541</v>
      </c>
      <c r="E91" s="64"/>
      <c r="F91" s="67"/>
      <c r="G91" s="67"/>
      <c r="H91" s="67"/>
      <c r="I91" s="67"/>
      <c r="J91" s="67">
        <f>L91+O91</f>
        <v>347197</v>
      </c>
      <c r="K91" s="67">
        <f>K137</f>
        <v>347197</v>
      </c>
      <c r="L91" s="67"/>
      <c r="M91" s="67"/>
      <c r="N91" s="67"/>
      <c r="O91" s="67">
        <f>K91</f>
        <v>347197</v>
      </c>
      <c r="P91" s="103">
        <f t="shared" si="15"/>
        <v>347197</v>
      </c>
      <c r="Q91" s="11"/>
      <c r="R91" s="11"/>
      <c r="S91" s="11"/>
      <c r="T91" s="11"/>
      <c r="U91" s="11"/>
    </row>
    <row r="92" spans="1:21" s="12" customFormat="1" ht="16.5" customHeight="1" x14ac:dyDescent="0.2">
      <c r="A92" s="109" t="s">
        <v>209</v>
      </c>
      <c r="B92" s="110"/>
      <c r="C92" s="111"/>
      <c r="D92" s="112" t="s">
        <v>94</v>
      </c>
      <c r="E92" s="102">
        <f>E93+E94+E100+E106+E110+E118+E127+E133+E128+E129+E111+E120</f>
        <v>117100401</v>
      </c>
      <c r="F92" s="102">
        <f>F93+F94+F100+F106+F110+F118+F127+F133+F128+F129+F111+F120</f>
        <v>117100401</v>
      </c>
      <c r="G92" s="102">
        <f>G93+G94+G100+G106+G110+G118+G127+G133+G128+G129+G111</f>
        <v>1762400</v>
      </c>
      <c r="H92" s="102">
        <f>H93+H94+H100+H106+H110+H118+H127+H133+H128+H129+H111</f>
        <v>11500</v>
      </c>
      <c r="I92" s="102">
        <f>I93+I94+I100+I106+I110+I118+I127+I133+I128+I129+I111</f>
        <v>0</v>
      </c>
      <c r="J92" s="102">
        <f>J93+J94+J100+J106+J110+J118+J127+J133</f>
        <v>9596107</v>
      </c>
      <c r="K92" s="102">
        <f>K93+K94+K100+K106+K110+K118+K127+K133+K136</f>
        <v>9596107</v>
      </c>
      <c r="L92" s="102">
        <f>L93+L94+L100+L106+L110+L118+L127+L133</f>
        <v>0</v>
      </c>
      <c r="M92" s="102">
        <f>M93+M94+M100+M106+M110+M118+M127+M133</f>
        <v>0</v>
      </c>
      <c r="N92" s="102">
        <f>N93+N94+N100+N106+N110+N118+N127+N133</f>
        <v>0</v>
      </c>
      <c r="O92" s="102">
        <f>O93+O94+O100+O106+O110+O118+O127+O133</f>
        <v>9596107</v>
      </c>
      <c r="P92" s="102">
        <f>P93+P94+P100+P106+P110+P118+P127+P133+P120+P128+P129+P111</f>
        <v>126696508</v>
      </c>
      <c r="Q92" s="202"/>
      <c r="R92" s="202"/>
      <c r="S92" s="202"/>
      <c r="T92" s="202"/>
      <c r="U92" s="202"/>
    </row>
    <row r="93" spans="1:21" s="6" customFormat="1" ht="25.5" x14ac:dyDescent="0.2">
      <c r="A93" s="51" t="s">
        <v>210</v>
      </c>
      <c r="B93" s="36" t="s">
        <v>197</v>
      </c>
      <c r="C93" s="36" t="s">
        <v>122</v>
      </c>
      <c r="D93" s="99" t="s">
        <v>196</v>
      </c>
      <c r="E93" s="68">
        <f t="shared" ref="E93:E130" si="18">F93+I93</f>
        <v>2221500</v>
      </c>
      <c r="F93" s="69">
        <f>1938900+282600</f>
        <v>2221500</v>
      </c>
      <c r="G93" s="69">
        <f>1530700+231700</f>
        <v>1762400</v>
      </c>
      <c r="H93" s="69">
        <v>11500</v>
      </c>
      <c r="I93" s="69"/>
      <c r="J93" s="68">
        <f t="shared" ref="J93:J137" si="19">L93+O93</f>
        <v>0</v>
      </c>
      <c r="K93" s="69"/>
      <c r="L93" s="69"/>
      <c r="M93" s="69"/>
      <c r="N93" s="69"/>
      <c r="O93" s="69">
        <f>K93</f>
        <v>0</v>
      </c>
      <c r="P93" s="88">
        <f t="shared" si="15"/>
        <v>2221500</v>
      </c>
    </row>
    <row r="94" spans="1:21" x14ac:dyDescent="0.2">
      <c r="A94" s="51" t="s">
        <v>211</v>
      </c>
      <c r="B94" s="14" t="s">
        <v>34</v>
      </c>
      <c r="C94" s="14" t="s">
        <v>3</v>
      </c>
      <c r="D94" s="73" t="s">
        <v>95</v>
      </c>
      <c r="E94" s="68">
        <f t="shared" si="18"/>
        <v>70231200</v>
      </c>
      <c r="F94" s="69">
        <v>70231200</v>
      </c>
      <c r="G94" s="69"/>
      <c r="H94" s="69"/>
      <c r="I94" s="69"/>
      <c r="J94" s="68">
        <f t="shared" si="19"/>
        <v>8948910</v>
      </c>
      <c r="K94" s="69">
        <f>1000000+526110+100000+6047000+1398300-22500-100000</f>
        <v>8948910</v>
      </c>
      <c r="L94" s="69"/>
      <c r="M94" s="69"/>
      <c r="N94" s="69"/>
      <c r="O94" s="69">
        <f>K94</f>
        <v>8948910</v>
      </c>
      <c r="P94" s="88">
        <f t="shared" si="15"/>
        <v>79180110</v>
      </c>
      <c r="Q94" s="6"/>
      <c r="R94" s="6"/>
      <c r="S94" s="6"/>
      <c r="T94" s="6"/>
      <c r="U94" s="6"/>
    </row>
    <row r="95" spans="1:21" ht="15" customHeight="1" x14ac:dyDescent="0.2">
      <c r="A95" s="51"/>
      <c r="B95" s="14"/>
      <c r="C95" s="14"/>
      <c r="D95" s="54" t="s">
        <v>96</v>
      </c>
      <c r="E95" s="64">
        <f t="shared" si="18"/>
        <v>19888000</v>
      </c>
      <c r="F95" s="107">
        <v>19888000</v>
      </c>
      <c r="G95" s="69"/>
      <c r="H95" s="69"/>
      <c r="I95" s="69"/>
      <c r="J95" s="68">
        <f t="shared" si="19"/>
        <v>0</v>
      </c>
      <c r="K95" s="69"/>
      <c r="L95" s="69"/>
      <c r="M95" s="69"/>
      <c r="N95" s="69"/>
      <c r="O95" s="69">
        <f t="shared" ref="O95:O120" si="20">K95</f>
        <v>0</v>
      </c>
      <c r="P95" s="88">
        <f t="shared" si="15"/>
        <v>19888000</v>
      </c>
      <c r="Q95" s="6"/>
      <c r="R95" s="6"/>
      <c r="S95" s="6"/>
      <c r="T95" s="6"/>
      <c r="U95" s="6"/>
    </row>
    <row r="96" spans="1:21" s="10" customFormat="1" ht="13.5" hidden="1" customHeight="1" x14ac:dyDescent="0.2">
      <c r="A96" s="98"/>
      <c r="B96" s="14"/>
      <c r="C96" s="14"/>
      <c r="D96" s="73"/>
      <c r="E96" s="64">
        <f t="shared" si="18"/>
        <v>0</v>
      </c>
      <c r="F96" s="107"/>
      <c r="G96" s="69"/>
      <c r="H96" s="69"/>
      <c r="I96" s="69"/>
      <c r="J96" s="68">
        <f t="shared" si="19"/>
        <v>0</v>
      </c>
      <c r="K96" s="69"/>
      <c r="L96" s="69"/>
      <c r="M96" s="69"/>
      <c r="N96" s="69"/>
      <c r="O96" s="69">
        <f t="shared" si="20"/>
        <v>0</v>
      </c>
      <c r="P96" s="88">
        <f t="shared" si="15"/>
        <v>0</v>
      </c>
      <c r="Q96" s="203"/>
      <c r="R96" s="203"/>
      <c r="S96" s="203"/>
      <c r="T96" s="203"/>
      <c r="U96" s="203"/>
    </row>
    <row r="97" spans="1:21" s="10" customFormat="1" ht="15.75" customHeight="1" x14ac:dyDescent="0.2">
      <c r="A97" s="98"/>
      <c r="B97" s="14"/>
      <c r="C97" s="14"/>
      <c r="D97" s="54" t="s">
        <v>514</v>
      </c>
      <c r="E97" s="64"/>
      <c r="F97" s="107"/>
      <c r="G97" s="69"/>
      <c r="H97" s="69"/>
      <c r="I97" s="69"/>
      <c r="J97" s="68">
        <f t="shared" si="19"/>
        <v>6147000</v>
      </c>
      <c r="K97" s="69">
        <f>100000+6047000</f>
        <v>6147000</v>
      </c>
      <c r="L97" s="69"/>
      <c r="M97" s="69"/>
      <c r="N97" s="69"/>
      <c r="O97" s="69">
        <f>K97</f>
        <v>6147000</v>
      </c>
      <c r="P97" s="103">
        <f t="shared" si="15"/>
        <v>6147000</v>
      </c>
      <c r="Q97" s="203"/>
      <c r="R97" s="203"/>
      <c r="S97" s="203"/>
      <c r="T97" s="203"/>
      <c r="U97" s="203"/>
    </row>
    <row r="98" spans="1:21" ht="24" hidden="1" customHeight="1" x14ac:dyDescent="0.2">
      <c r="A98" s="51"/>
      <c r="B98" s="14"/>
      <c r="C98" s="14"/>
      <c r="D98" s="54" t="s">
        <v>498</v>
      </c>
      <c r="E98" s="64">
        <f t="shared" si="18"/>
        <v>0</v>
      </c>
      <c r="F98" s="107"/>
      <c r="G98" s="69"/>
      <c r="H98" s="69"/>
      <c r="I98" s="69"/>
      <c r="J98" s="68">
        <f t="shared" si="19"/>
        <v>0</v>
      </c>
      <c r="K98" s="69"/>
      <c r="L98" s="69"/>
      <c r="M98" s="69"/>
      <c r="N98" s="69"/>
      <c r="O98" s="69">
        <f t="shared" si="20"/>
        <v>0</v>
      </c>
      <c r="P98" s="88">
        <f t="shared" si="15"/>
        <v>0</v>
      </c>
      <c r="Q98" s="6"/>
      <c r="R98" s="6"/>
      <c r="S98" s="6"/>
      <c r="T98" s="6"/>
      <c r="U98" s="6"/>
    </row>
    <row r="99" spans="1:21" ht="28.5" customHeight="1" x14ac:dyDescent="0.2">
      <c r="A99" s="51"/>
      <c r="B99" s="14"/>
      <c r="C99" s="14"/>
      <c r="D99" s="32" t="s">
        <v>512</v>
      </c>
      <c r="E99" s="64">
        <f t="shared" si="18"/>
        <v>0</v>
      </c>
      <c r="F99" s="107"/>
      <c r="G99" s="69"/>
      <c r="H99" s="69"/>
      <c r="I99" s="69"/>
      <c r="J99" s="64">
        <f t="shared" si="19"/>
        <v>1857908</v>
      </c>
      <c r="K99" s="107">
        <v>1857908</v>
      </c>
      <c r="L99" s="69"/>
      <c r="M99" s="69"/>
      <c r="N99" s="69"/>
      <c r="O99" s="107">
        <f t="shared" si="20"/>
        <v>1857908</v>
      </c>
      <c r="P99" s="88">
        <f t="shared" si="15"/>
        <v>1857908</v>
      </c>
      <c r="Q99" s="6"/>
      <c r="R99" s="6"/>
      <c r="S99" s="6"/>
      <c r="T99" s="6"/>
      <c r="U99" s="6"/>
    </row>
    <row r="100" spans="1:21" x14ac:dyDescent="0.2">
      <c r="A100" s="51" t="s">
        <v>213</v>
      </c>
      <c r="B100" s="14" t="s">
        <v>212</v>
      </c>
      <c r="C100" s="14" t="s">
        <v>4</v>
      </c>
      <c r="D100" s="113" t="s">
        <v>97</v>
      </c>
      <c r="E100" s="68">
        <f t="shared" si="18"/>
        <v>16918100</v>
      </c>
      <c r="F100" s="69">
        <f>16918100</f>
        <v>16918100</v>
      </c>
      <c r="G100" s="69"/>
      <c r="H100" s="69"/>
      <c r="I100" s="69"/>
      <c r="J100" s="68">
        <f t="shared" si="19"/>
        <v>0</v>
      </c>
      <c r="K100" s="69"/>
      <c r="L100" s="69"/>
      <c r="M100" s="69"/>
      <c r="N100" s="69"/>
      <c r="O100" s="69">
        <f t="shared" si="20"/>
        <v>0</v>
      </c>
      <c r="P100" s="88">
        <f t="shared" si="15"/>
        <v>16918100</v>
      </c>
      <c r="Q100" s="6"/>
      <c r="R100" s="6"/>
      <c r="S100" s="6"/>
      <c r="T100" s="6"/>
      <c r="U100" s="6"/>
    </row>
    <row r="101" spans="1:21" x14ac:dyDescent="0.2">
      <c r="A101" s="51"/>
      <c r="B101" s="14"/>
      <c r="C101" s="14"/>
      <c r="D101" s="54" t="s">
        <v>96</v>
      </c>
      <c r="E101" s="64">
        <f t="shared" si="18"/>
        <v>5896500</v>
      </c>
      <c r="F101" s="107">
        <v>5896500</v>
      </c>
      <c r="G101" s="69"/>
      <c r="H101" s="69"/>
      <c r="I101" s="69"/>
      <c r="J101" s="68">
        <f t="shared" si="19"/>
        <v>0</v>
      </c>
      <c r="K101" s="69"/>
      <c r="L101" s="69"/>
      <c r="M101" s="69"/>
      <c r="N101" s="69"/>
      <c r="O101" s="69">
        <f t="shared" si="20"/>
        <v>0</v>
      </c>
      <c r="P101" s="88">
        <f t="shared" si="15"/>
        <v>5896500</v>
      </c>
      <c r="Q101" s="6"/>
      <c r="R101" s="6"/>
      <c r="S101" s="6"/>
      <c r="T101" s="6"/>
      <c r="U101" s="6"/>
    </row>
    <row r="102" spans="1:21" s="22" customFormat="1" hidden="1" x14ac:dyDescent="0.2">
      <c r="A102" s="114" t="s">
        <v>216</v>
      </c>
      <c r="B102" s="115" t="s">
        <v>215</v>
      </c>
      <c r="C102" s="115" t="s">
        <v>6</v>
      </c>
      <c r="D102" s="116" t="s">
        <v>214</v>
      </c>
      <c r="E102" s="117">
        <f t="shared" si="18"/>
        <v>0</v>
      </c>
      <c r="F102" s="118"/>
      <c r="G102" s="118"/>
      <c r="H102" s="118"/>
      <c r="I102" s="118"/>
      <c r="J102" s="117">
        <f t="shared" si="19"/>
        <v>0</v>
      </c>
      <c r="K102" s="118"/>
      <c r="L102" s="118"/>
      <c r="M102" s="118"/>
      <c r="N102" s="118"/>
      <c r="O102" s="69">
        <f t="shared" si="20"/>
        <v>0</v>
      </c>
      <c r="P102" s="88">
        <f t="shared" si="15"/>
        <v>0</v>
      </c>
      <c r="Q102" s="23"/>
      <c r="R102" s="23"/>
      <c r="S102" s="23"/>
      <c r="T102" s="23"/>
      <c r="U102" s="23"/>
    </row>
    <row r="103" spans="1:21" hidden="1" x14ac:dyDescent="0.2">
      <c r="A103" s="51"/>
      <c r="B103" s="14"/>
      <c r="C103" s="14"/>
      <c r="D103" s="54" t="s">
        <v>96</v>
      </c>
      <c r="E103" s="68">
        <f t="shared" si="18"/>
        <v>0</v>
      </c>
      <c r="F103" s="69"/>
      <c r="G103" s="69"/>
      <c r="H103" s="69"/>
      <c r="I103" s="69"/>
      <c r="J103" s="68">
        <f t="shared" si="19"/>
        <v>0</v>
      </c>
      <c r="K103" s="69"/>
      <c r="L103" s="69"/>
      <c r="M103" s="69"/>
      <c r="N103" s="69"/>
      <c r="O103" s="69">
        <f t="shared" si="20"/>
        <v>0</v>
      </c>
      <c r="P103" s="88">
        <f t="shared" si="15"/>
        <v>0</v>
      </c>
      <c r="Q103" s="6"/>
      <c r="R103" s="6"/>
      <c r="S103" s="6"/>
      <c r="T103" s="6"/>
      <c r="U103" s="6"/>
    </row>
    <row r="104" spans="1:21" ht="25.5" hidden="1" x14ac:dyDescent="0.2">
      <c r="A104" s="51"/>
      <c r="B104" s="14"/>
      <c r="C104" s="14"/>
      <c r="D104" s="54" t="s">
        <v>498</v>
      </c>
      <c r="E104" s="68"/>
      <c r="F104" s="69"/>
      <c r="G104" s="69"/>
      <c r="H104" s="69"/>
      <c r="I104" s="69"/>
      <c r="J104" s="64">
        <f t="shared" si="19"/>
        <v>0</v>
      </c>
      <c r="K104" s="107"/>
      <c r="L104" s="69"/>
      <c r="M104" s="69"/>
      <c r="N104" s="69"/>
      <c r="O104" s="107">
        <f t="shared" si="20"/>
        <v>0</v>
      </c>
      <c r="P104" s="88">
        <f t="shared" si="15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32" t="s">
        <v>512</v>
      </c>
      <c r="E105" s="64">
        <f>F105</f>
        <v>0</v>
      </c>
      <c r="F105" s="107"/>
      <c r="G105" s="69"/>
      <c r="H105" s="69"/>
      <c r="I105" s="69"/>
      <c r="J105" s="64"/>
      <c r="K105" s="107"/>
      <c r="L105" s="69"/>
      <c r="M105" s="69"/>
      <c r="N105" s="69"/>
      <c r="O105" s="107"/>
      <c r="P105" s="88">
        <f t="shared" si="15"/>
        <v>0</v>
      </c>
      <c r="Q105" s="6"/>
      <c r="R105" s="6"/>
      <c r="S105" s="6"/>
      <c r="T105" s="6"/>
      <c r="U105" s="6"/>
    </row>
    <row r="106" spans="1:21" ht="15.75" x14ac:dyDescent="0.25">
      <c r="A106" s="51" t="s">
        <v>582</v>
      </c>
      <c r="B106" s="14" t="s">
        <v>583</v>
      </c>
      <c r="C106" s="14" t="s">
        <v>6</v>
      </c>
      <c r="D106" s="75" t="s">
        <v>584</v>
      </c>
      <c r="E106" s="68">
        <f>F106+I106</f>
        <v>8892800</v>
      </c>
      <c r="F106" s="69">
        <f>8690400-97600+300000</f>
        <v>8892800</v>
      </c>
      <c r="G106" s="69"/>
      <c r="H106" s="69"/>
      <c r="I106" s="69"/>
      <c r="J106" s="68">
        <f t="shared" si="19"/>
        <v>300000</v>
      </c>
      <c r="K106" s="69">
        <v>300000</v>
      </c>
      <c r="L106" s="69"/>
      <c r="M106" s="69"/>
      <c r="N106" s="69"/>
      <c r="O106" s="69">
        <f>K106</f>
        <v>300000</v>
      </c>
      <c r="P106" s="88">
        <f t="shared" si="15"/>
        <v>9192800</v>
      </c>
      <c r="Q106" s="6"/>
      <c r="R106" s="6"/>
      <c r="S106" s="6"/>
      <c r="T106" s="6"/>
      <c r="U106" s="6"/>
    </row>
    <row r="107" spans="1:21" s="13" customFormat="1" x14ac:dyDescent="0.2">
      <c r="A107" s="50"/>
      <c r="B107" s="39"/>
      <c r="C107" s="39"/>
      <c r="D107" s="54" t="s">
        <v>96</v>
      </c>
      <c r="E107" s="64">
        <f>F107</f>
        <v>4766100</v>
      </c>
      <c r="F107" s="107">
        <v>4766100</v>
      </c>
      <c r="G107" s="107"/>
      <c r="H107" s="107"/>
      <c r="I107" s="107"/>
      <c r="J107" s="64">
        <f t="shared" si="19"/>
        <v>0</v>
      </c>
      <c r="K107" s="107"/>
      <c r="L107" s="107"/>
      <c r="M107" s="107"/>
      <c r="N107" s="107"/>
      <c r="O107" s="107">
        <f>K107</f>
        <v>0</v>
      </c>
      <c r="P107" s="88">
        <f>E107</f>
        <v>4766100</v>
      </c>
      <c r="Q107" s="11"/>
      <c r="R107" s="11"/>
      <c r="S107" s="11"/>
      <c r="T107" s="11"/>
      <c r="U107" s="11"/>
    </row>
    <row r="108" spans="1:21" s="13" customFormat="1" ht="25.5" hidden="1" x14ac:dyDescent="0.2">
      <c r="A108" s="50"/>
      <c r="B108" s="39"/>
      <c r="C108" s="39"/>
      <c r="D108" s="54" t="s">
        <v>498</v>
      </c>
      <c r="E108" s="64">
        <f>F108</f>
        <v>0</v>
      </c>
      <c r="F108" s="107"/>
      <c r="G108" s="107"/>
      <c r="H108" s="107"/>
      <c r="I108" s="107"/>
      <c r="J108" s="64">
        <f t="shared" si="19"/>
        <v>0</v>
      </c>
      <c r="K108" s="107"/>
      <c r="L108" s="107"/>
      <c r="M108" s="107"/>
      <c r="N108" s="107"/>
      <c r="O108" s="107">
        <f>K108</f>
        <v>0</v>
      </c>
      <c r="P108" s="88">
        <f t="shared" si="15"/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32" t="s">
        <v>512</v>
      </c>
      <c r="E109" s="64">
        <f>F109</f>
        <v>0</v>
      </c>
      <c r="F109" s="107"/>
      <c r="G109" s="107"/>
      <c r="H109" s="107"/>
      <c r="I109" s="107"/>
      <c r="J109" s="64"/>
      <c r="K109" s="107"/>
      <c r="L109" s="107"/>
      <c r="M109" s="107"/>
      <c r="N109" s="107"/>
      <c r="O109" s="107"/>
      <c r="P109" s="88">
        <f>E109</f>
        <v>0</v>
      </c>
      <c r="Q109" s="11"/>
      <c r="R109" s="11"/>
      <c r="S109" s="11"/>
      <c r="T109" s="11"/>
      <c r="U109" s="11"/>
    </row>
    <row r="110" spans="1:21" s="27" customFormat="1" hidden="1" x14ac:dyDescent="0.2">
      <c r="A110" s="52" t="s">
        <v>221</v>
      </c>
      <c r="B110" s="63" t="s">
        <v>220</v>
      </c>
      <c r="C110" s="63"/>
      <c r="D110" s="76" t="s">
        <v>455</v>
      </c>
      <c r="E110" s="68">
        <f t="shared" ref="E110:E115" si="21">F110+I110</f>
        <v>0</v>
      </c>
      <c r="F110" s="69"/>
      <c r="G110" s="69"/>
      <c r="H110" s="69"/>
      <c r="I110" s="69">
        <f>I111</f>
        <v>0</v>
      </c>
      <c r="J110" s="68">
        <f>L110+O110</f>
        <v>0</v>
      </c>
      <c r="K110" s="69"/>
      <c r="L110" s="69"/>
      <c r="M110" s="69"/>
      <c r="N110" s="69">
        <f>N111</f>
        <v>0</v>
      </c>
      <c r="O110" s="69">
        <f t="shared" si="20"/>
        <v>0</v>
      </c>
      <c r="P110" s="88">
        <f t="shared" ref="P110:P138" si="22">E110+J110</f>
        <v>0</v>
      </c>
      <c r="Q110" s="28"/>
      <c r="R110" s="28"/>
      <c r="S110" s="28"/>
      <c r="T110" s="28"/>
      <c r="U110" s="28"/>
    </row>
    <row r="111" spans="1:21" s="13" customFormat="1" ht="25.5" x14ac:dyDescent="0.2">
      <c r="A111" s="50" t="s">
        <v>224</v>
      </c>
      <c r="B111" s="30" t="s">
        <v>223</v>
      </c>
      <c r="C111" s="30" t="s">
        <v>481</v>
      </c>
      <c r="D111" s="31" t="s">
        <v>222</v>
      </c>
      <c r="E111" s="64">
        <f t="shared" si="21"/>
        <v>5985200</v>
      </c>
      <c r="F111" s="107">
        <f>5985200</f>
        <v>5985200</v>
      </c>
      <c r="G111" s="107"/>
      <c r="H111" s="107"/>
      <c r="I111" s="107"/>
      <c r="J111" s="68">
        <f>L111+O111</f>
        <v>0</v>
      </c>
      <c r="K111" s="69"/>
      <c r="L111" s="69"/>
      <c r="M111" s="69"/>
      <c r="N111" s="69"/>
      <c r="O111" s="69">
        <f t="shared" si="20"/>
        <v>0</v>
      </c>
      <c r="P111" s="88">
        <f t="shared" si="22"/>
        <v>5985200</v>
      </c>
      <c r="Q111" s="11"/>
      <c r="R111" s="11"/>
      <c r="S111" s="11"/>
      <c r="T111" s="11"/>
      <c r="U111" s="11"/>
    </row>
    <row r="112" spans="1:21" s="22" customFormat="1" hidden="1" x14ac:dyDescent="0.2">
      <c r="A112" s="114"/>
      <c r="B112" s="115"/>
      <c r="C112" s="115"/>
      <c r="D112" s="120" t="s">
        <v>96</v>
      </c>
      <c r="E112" s="64">
        <f t="shared" si="21"/>
        <v>0</v>
      </c>
      <c r="F112" s="118"/>
      <c r="G112" s="118"/>
      <c r="H112" s="118"/>
      <c r="I112" s="118"/>
      <c r="J112" s="64">
        <f>L112+O112</f>
        <v>0</v>
      </c>
      <c r="K112" s="118"/>
      <c r="L112" s="118"/>
      <c r="M112" s="118"/>
      <c r="N112" s="118"/>
      <c r="O112" s="69">
        <f t="shared" si="20"/>
        <v>0</v>
      </c>
      <c r="P112" s="88">
        <f t="shared" si="22"/>
        <v>0</v>
      </c>
      <c r="Q112" s="23"/>
      <c r="R112" s="23"/>
      <c r="S112" s="23"/>
      <c r="T112" s="23"/>
      <c r="U112" s="23"/>
    </row>
    <row r="113" spans="1:21" s="22" customFormat="1" ht="31.5" hidden="1" customHeight="1" x14ac:dyDescent="0.2">
      <c r="A113" s="114"/>
      <c r="B113" s="115"/>
      <c r="C113" s="115"/>
      <c r="D113" s="120" t="s">
        <v>163</v>
      </c>
      <c r="E113" s="64">
        <f t="shared" si="21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0"/>
        <v>0</v>
      </c>
      <c r="P113" s="88">
        <f t="shared" si="22"/>
        <v>0</v>
      </c>
      <c r="Q113" s="23"/>
      <c r="R113" s="23"/>
      <c r="S113" s="23"/>
      <c r="T113" s="23"/>
      <c r="U113" s="23"/>
    </row>
    <row r="114" spans="1:21" s="35" customFormat="1" ht="15" hidden="1" customHeight="1" x14ac:dyDescent="0.2">
      <c r="A114" s="121"/>
      <c r="B114" s="26"/>
      <c r="C114" s="26"/>
      <c r="D114" s="54" t="s">
        <v>96</v>
      </c>
      <c r="E114" s="64">
        <f t="shared" si="21"/>
        <v>0</v>
      </c>
      <c r="F114" s="107"/>
      <c r="G114" s="122"/>
      <c r="H114" s="122"/>
      <c r="I114" s="122"/>
      <c r="J114" s="64">
        <f>L114+O114</f>
        <v>0</v>
      </c>
      <c r="K114" s="122"/>
      <c r="L114" s="122"/>
      <c r="M114" s="122"/>
      <c r="N114" s="122"/>
      <c r="O114" s="69">
        <f t="shared" si="20"/>
        <v>0</v>
      </c>
      <c r="P114" s="88">
        <f t="shared" si="22"/>
        <v>0</v>
      </c>
      <c r="Q114" s="24"/>
      <c r="R114" s="24"/>
      <c r="S114" s="24"/>
      <c r="T114" s="24"/>
      <c r="U114" s="24"/>
    </row>
    <row r="115" spans="1:21" s="35" customFormat="1" ht="25.5" hidden="1" x14ac:dyDescent="0.2">
      <c r="A115" s="121"/>
      <c r="B115" s="26"/>
      <c r="C115" s="26"/>
      <c r="D115" s="54" t="s">
        <v>498</v>
      </c>
      <c r="E115" s="64">
        <f t="shared" si="21"/>
        <v>0</v>
      </c>
      <c r="F115" s="107"/>
      <c r="G115" s="122"/>
      <c r="H115" s="122"/>
      <c r="I115" s="122"/>
      <c r="J115" s="68">
        <f t="shared" si="19"/>
        <v>0</v>
      </c>
      <c r="K115" s="122"/>
      <c r="L115" s="122"/>
      <c r="M115" s="122"/>
      <c r="N115" s="122"/>
      <c r="O115" s="69">
        <f t="shared" si="20"/>
        <v>0</v>
      </c>
      <c r="P115" s="88">
        <f t="shared" si="22"/>
        <v>0</v>
      </c>
      <c r="Q115" s="24"/>
      <c r="R115" s="24"/>
      <c r="S115" s="24"/>
      <c r="T115" s="24"/>
      <c r="U115" s="24"/>
    </row>
    <row r="116" spans="1:21" hidden="1" x14ac:dyDescent="0.2">
      <c r="A116" s="51" t="s">
        <v>219</v>
      </c>
      <c r="B116" s="14" t="s">
        <v>218</v>
      </c>
      <c r="C116" s="14" t="s">
        <v>7</v>
      </c>
      <c r="D116" s="77" t="s">
        <v>217</v>
      </c>
      <c r="E116" s="68">
        <f t="shared" si="18"/>
        <v>0</v>
      </c>
      <c r="F116" s="69"/>
      <c r="G116" s="69"/>
      <c r="H116" s="69"/>
      <c r="I116" s="69"/>
      <c r="J116" s="68">
        <f t="shared" si="19"/>
        <v>0</v>
      </c>
      <c r="K116" s="69"/>
      <c r="L116" s="69"/>
      <c r="M116" s="69"/>
      <c r="N116" s="69"/>
      <c r="O116" s="69">
        <f t="shared" si="20"/>
        <v>0</v>
      </c>
      <c r="P116" s="88">
        <f t="shared" si="22"/>
        <v>0</v>
      </c>
      <c r="Q116" s="6"/>
      <c r="R116" s="6"/>
      <c r="S116" s="6"/>
      <c r="T116" s="6"/>
      <c r="U116" s="6"/>
    </row>
    <row r="117" spans="1:21" hidden="1" x14ac:dyDescent="0.2">
      <c r="A117" s="51"/>
      <c r="B117" s="14"/>
      <c r="C117" s="14"/>
      <c r="D117" s="54" t="s">
        <v>96</v>
      </c>
      <c r="E117" s="68">
        <f t="shared" si="18"/>
        <v>0</v>
      </c>
      <c r="F117" s="69"/>
      <c r="G117" s="69"/>
      <c r="H117" s="69"/>
      <c r="I117" s="69"/>
      <c r="J117" s="68">
        <f t="shared" si="19"/>
        <v>0</v>
      </c>
      <c r="K117" s="69"/>
      <c r="L117" s="69"/>
      <c r="M117" s="69"/>
      <c r="N117" s="69"/>
      <c r="O117" s="69">
        <f t="shared" si="20"/>
        <v>0</v>
      </c>
      <c r="P117" s="88">
        <f t="shared" si="22"/>
        <v>0</v>
      </c>
      <c r="Q117" s="6"/>
      <c r="R117" s="6"/>
      <c r="S117" s="6"/>
      <c r="T117" s="6"/>
      <c r="U117" s="6"/>
    </row>
    <row r="118" spans="1:21" hidden="1" x14ac:dyDescent="0.2">
      <c r="A118" s="51" t="s">
        <v>226</v>
      </c>
      <c r="B118" s="14" t="s">
        <v>35</v>
      </c>
      <c r="C118" s="14"/>
      <c r="D118" s="78" t="s">
        <v>225</v>
      </c>
      <c r="E118" s="68">
        <f t="shared" si="18"/>
        <v>0</v>
      </c>
      <c r="F118" s="69"/>
      <c r="G118" s="69"/>
      <c r="H118" s="69"/>
      <c r="I118" s="69">
        <f>I119+I120+I124</f>
        <v>0</v>
      </c>
      <c r="J118" s="68">
        <f t="shared" si="19"/>
        <v>0</v>
      </c>
      <c r="K118" s="69"/>
      <c r="L118" s="69"/>
      <c r="M118" s="69"/>
      <c r="N118" s="69">
        <f>N119+N120+N124</f>
        <v>0</v>
      </c>
      <c r="O118" s="69">
        <f t="shared" si="20"/>
        <v>0</v>
      </c>
      <c r="P118" s="88">
        <f t="shared" si="22"/>
        <v>0</v>
      </c>
      <c r="Q118" s="6"/>
      <c r="R118" s="6"/>
      <c r="S118" s="6"/>
      <c r="T118" s="6"/>
      <c r="U118" s="6"/>
    </row>
    <row r="119" spans="1:21" s="13" customFormat="1" hidden="1" x14ac:dyDescent="0.2">
      <c r="A119" s="50" t="s">
        <v>229</v>
      </c>
      <c r="B119" s="39" t="s">
        <v>228</v>
      </c>
      <c r="C119" s="39" t="s">
        <v>8</v>
      </c>
      <c r="D119" s="32" t="s">
        <v>227</v>
      </c>
      <c r="E119" s="64">
        <f t="shared" si="18"/>
        <v>0</v>
      </c>
      <c r="F119" s="91"/>
      <c r="G119" s="91"/>
      <c r="H119" s="91"/>
      <c r="I119" s="91"/>
      <c r="J119" s="68">
        <f t="shared" si="19"/>
        <v>0</v>
      </c>
      <c r="K119" s="91"/>
      <c r="L119" s="91"/>
      <c r="M119" s="91"/>
      <c r="N119" s="91"/>
      <c r="O119" s="107">
        <f t="shared" si="20"/>
        <v>0</v>
      </c>
      <c r="P119" s="88">
        <f t="shared" si="22"/>
        <v>0</v>
      </c>
      <c r="Q119" s="11"/>
      <c r="R119" s="11"/>
      <c r="S119" s="11"/>
      <c r="T119" s="11"/>
      <c r="U119" s="11"/>
    </row>
    <row r="120" spans="1:21" s="13" customFormat="1" x14ac:dyDescent="0.2">
      <c r="A120" s="50" t="s">
        <v>232</v>
      </c>
      <c r="B120" s="39" t="s">
        <v>231</v>
      </c>
      <c r="C120" s="39" t="s">
        <v>8</v>
      </c>
      <c r="D120" s="32" t="s">
        <v>230</v>
      </c>
      <c r="E120" s="64">
        <f t="shared" si="18"/>
        <v>3687701</v>
      </c>
      <c r="F120" s="91">
        <f>1401846+2285855</f>
        <v>3687701</v>
      </c>
      <c r="G120" s="91"/>
      <c r="H120" s="91"/>
      <c r="I120" s="91"/>
      <c r="J120" s="68">
        <f t="shared" si="19"/>
        <v>0</v>
      </c>
      <c r="K120" s="91"/>
      <c r="L120" s="91"/>
      <c r="M120" s="91"/>
      <c r="N120" s="91"/>
      <c r="O120" s="107">
        <f t="shared" si="20"/>
        <v>0</v>
      </c>
      <c r="P120" s="88">
        <f t="shared" si="22"/>
        <v>3687701</v>
      </c>
      <c r="Q120" s="11"/>
      <c r="R120" s="11"/>
      <c r="S120" s="11"/>
      <c r="T120" s="11"/>
      <c r="U120" s="11"/>
    </row>
    <row r="121" spans="1:21" s="13" customFormat="1" ht="29.25" customHeight="1" x14ac:dyDescent="0.2">
      <c r="A121" s="50"/>
      <c r="B121" s="39"/>
      <c r="C121" s="39"/>
      <c r="D121" s="32" t="s">
        <v>642</v>
      </c>
      <c r="E121" s="64">
        <f t="shared" si="18"/>
        <v>2285855</v>
      </c>
      <c r="F121" s="91">
        <v>2285855</v>
      </c>
      <c r="G121" s="91"/>
      <c r="H121" s="91"/>
      <c r="I121" s="91"/>
      <c r="J121" s="68"/>
      <c r="K121" s="91"/>
      <c r="L121" s="91"/>
      <c r="M121" s="91"/>
      <c r="N121" s="91"/>
      <c r="O121" s="107"/>
      <c r="P121" s="88">
        <f t="shared" si="22"/>
        <v>2285855</v>
      </c>
      <c r="Q121" s="11"/>
      <c r="R121" s="11"/>
      <c r="S121" s="11"/>
      <c r="T121" s="11"/>
      <c r="U121" s="11"/>
    </row>
    <row r="122" spans="1:21" s="13" customFormat="1" ht="27.75" customHeight="1" x14ac:dyDescent="0.2">
      <c r="A122" s="50"/>
      <c r="B122" s="39"/>
      <c r="C122" s="39"/>
      <c r="D122" s="32" t="s">
        <v>636</v>
      </c>
      <c r="E122" s="64">
        <f>F122</f>
        <v>204292</v>
      </c>
      <c r="F122" s="91">
        <v>204292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2"/>
        <v>204292</v>
      </c>
      <c r="Q122" s="11"/>
      <c r="R122" s="11"/>
      <c r="S122" s="11"/>
      <c r="T122" s="11"/>
      <c r="U122" s="11"/>
    </row>
    <row r="123" spans="1:21" s="13" customFormat="1" ht="25.5" x14ac:dyDescent="0.2">
      <c r="A123" s="50"/>
      <c r="B123" s="39"/>
      <c r="C123" s="39"/>
      <c r="D123" s="32" t="s">
        <v>512</v>
      </c>
      <c r="E123" s="64">
        <f>F123</f>
        <v>737946</v>
      </c>
      <c r="F123" s="91">
        <v>737946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2"/>
        <v>737946</v>
      </c>
      <c r="Q123" s="11"/>
      <c r="R123" s="11"/>
      <c r="S123" s="11"/>
      <c r="T123" s="11"/>
      <c r="U123" s="11"/>
    </row>
    <row r="124" spans="1:21" s="13" customFormat="1" hidden="1" x14ac:dyDescent="0.2">
      <c r="A124" s="50" t="s">
        <v>235</v>
      </c>
      <c r="B124" s="39" t="s">
        <v>234</v>
      </c>
      <c r="C124" s="39" t="s">
        <v>8</v>
      </c>
      <c r="D124" s="32" t="s">
        <v>233</v>
      </c>
      <c r="E124" s="64">
        <f>F124+I124</f>
        <v>0</v>
      </c>
      <c r="F124" s="91"/>
      <c r="G124" s="91"/>
      <c r="H124" s="91"/>
      <c r="I124" s="91"/>
      <c r="J124" s="68">
        <f t="shared" si="19"/>
        <v>0</v>
      </c>
      <c r="K124" s="91"/>
      <c r="L124" s="91"/>
      <c r="M124" s="91"/>
      <c r="N124" s="91"/>
      <c r="O124" s="107">
        <f>K124</f>
        <v>0</v>
      </c>
      <c r="P124" s="88">
        <f t="shared" si="22"/>
        <v>0</v>
      </c>
      <c r="Q124" s="11"/>
      <c r="R124" s="11"/>
      <c r="S124" s="11"/>
      <c r="T124" s="11"/>
      <c r="U124" s="11"/>
    </row>
    <row r="125" spans="1:21" s="13" customFormat="1" hidden="1" x14ac:dyDescent="0.2">
      <c r="A125" s="50"/>
      <c r="B125" s="39"/>
      <c r="C125" s="39"/>
      <c r="D125" s="32" t="s">
        <v>96</v>
      </c>
      <c r="E125" s="64">
        <f t="shared" si="18"/>
        <v>0</v>
      </c>
      <c r="F125" s="91"/>
      <c r="G125" s="91"/>
      <c r="H125" s="91"/>
      <c r="I125" s="91"/>
      <c r="J125" s="68"/>
      <c r="K125" s="91"/>
      <c r="L125" s="91"/>
      <c r="M125" s="91"/>
      <c r="N125" s="91"/>
      <c r="O125" s="107"/>
      <c r="P125" s="88">
        <f t="shared" si="22"/>
        <v>0</v>
      </c>
      <c r="Q125" s="11"/>
      <c r="R125" s="11"/>
      <c r="S125" s="11"/>
      <c r="T125" s="11"/>
      <c r="U125" s="11"/>
    </row>
    <row r="126" spans="1:21" s="13" customFormat="1" ht="38.25" hidden="1" x14ac:dyDescent="0.2">
      <c r="A126" s="50"/>
      <c r="B126" s="39"/>
      <c r="C126" s="39"/>
      <c r="D126" s="32" t="s">
        <v>513</v>
      </c>
      <c r="E126" s="64"/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2"/>
        <v>0</v>
      </c>
      <c r="Q126" s="11"/>
      <c r="R126" s="11"/>
      <c r="S126" s="11"/>
      <c r="T126" s="11"/>
      <c r="U126" s="11"/>
    </row>
    <row r="127" spans="1:21" hidden="1" x14ac:dyDescent="0.2">
      <c r="A127" s="51" t="s">
        <v>238</v>
      </c>
      <c r="B127" s="14" t="s">
        <v>237</v>
      </c>
      <c r="C127" s="14"/>
      <c r="D127" s="77" t="s">
        <v>236</v>
      </c>
      <c r="E127" s="68">
        <f t="shared" si="18"/>
        <v>0</v>
      </c>
      <c r="F127" s="69"/>
      <c r="G127" s="69"/>
      <c r="H127" s="69"/>
      <c r="I127" s="69">
        <f>I128+I129</f>
        <v>0</v>
      </c>
      <c r="J127" s="68">
        <f t="shared" si="19"/>
        <v>0</v>
      </c>
      <c r="K127" s="69"/>
      <c r="L127" s="69"/>
      <c r="M127" s="69"/>
      <c r="N127" s="69"/>
      <c r="O127" s="69">
        <f>K127</f>
        <v>0</v>
      </c>
      <c r="P127" s="88">
        <f t="shared" si="22"/>
        <v>0</v>
      </c>
      <c r="Q127" s="6"/>
      <c r="R127" s="6"/>
      <c r="S127" s="6"/>
      <c r="T127" s="6"/>
      <c r="U127" s="6"/>
    </row>
    <row r="128" spans="1:21" s="13" customFormat="1" x14ac:dyDescent="0.2">
      <c r="A128" s="50" t="s">
        <v>424</v>
      </c>
      <c r="B128" s="39" t="s">
        <v>422</v>
      </c>
      <c r="C128" s="39" t="s">
        <v>8</v>
      </c>
      <c r="D128" s="85" t="s">
        <v>426</v>
      </c>
      <c r="E128" s="64">
        <f t="shared" si="18"/>
        <v>1853800</v>
      </c>
      <c r="F128" s="107">
        <v>1853800</v>
      </c>
      <c r="G128" s="107"/>
      <c r="H128" s="107"/>
      <c r="I128" s="107"/>
      <c r="J128" s="64">
        <f t="shared" si="19"/>
        <v>0</v>
      </c>
      <c r="K128" s="107"/>
      <c r="L128" s="107"/>
      <c r="M128" s="107"/>
      <c r="N128" s="107"/>
      <c r="O128" s="107">
        <f>K128</f>
        <v>0</v>
      </c>
      <c r="P128" s="103">
        <f t="shared" si="22"/>
        <v>1853800</v>
      </c>
      <c r="Q128" s="11"/>
      <c r="R128" s="11"/>
      <c r="S128" s="11"/>
      <c r="T128" s="11"/>
      <c r="U128" s="11"/>
    </row>
    <row r="129" spans="1:21" s="13" customFormat="1" x14ac:dyDescent="0.2">
      <c r="A129" s="50" t="s">
        <v>425</v>
      </c>
      <c r="B129" s="39" t="s">
        <v>423</v>
      </c>
      <c r="C129" s="39" t="s">
        <v>8</v>
      </c>
      <c r="D129" s="85" t="s">
        <v>427</v>
      </c>
      <c r="E129" s="64">
        <f t="shared" si="18"/>
        <v>7310100</v>
      </c>
      <c r="F129" s="107">
        <f>6995100+215000+100000</f>
        <v>7310100</v>
      </c>
      <c r="G129" s="107"/>
      <c r="H129" s="107"/>
      <c r="I129" s="107"/>
      <c r="J129" s="64">
        <f t="shared" si="19"/>
        <v>0</v>
      </c>
      <c r="K129" s="107"/>
      <c r="L129" s="107"/>
      <c r="M129" s="107"/>
      <c r="N129" s="107"/>
      <c r="O129" s="107">
        <f>K129</f>
        <v>0</v>
      </c>
      <c r="P129" s="103">
        <f t="shared" si="22"/>
        <v>7310100</v>
      </c>
      <c r="Q129" s="11"/>
      <c r="R129" s="11"/>
      <c r="S129" s="11"/>
      <c r="T129" s="11"/>
      <c r="U129" s="11"/>
    </row>
    <row r="130" spans="1:21" ht="26.25" hidden="1" customHeight="1" x14ac:dyDescent="0.2">
      <c r="A130" s="51"/>
      <c r="B130" s="14"/>
      <c r="C130" s="14"/>
      <c r="D130" s="54" t="s">
        <v>96</v>
      </c>
      <c r="E130" s="68">
        <f t="shared" si="18"/>
        <v>0</v>
      </c>
      <c r="F130" s="69"/>
      <c r="G130" s="69"/>
      <c r="H130" s="69"/>
      <c r="I130" s="69"/>
      <c r="J130" s="64">
        <f t="shared" si="19"/>
        <v>0</v>
      </c>
      <c r="K130" s="69"/>
      <c r="L130" s="69"/>
      <c r="M130" s="69"/>
      <c r="N130" s="69"/>
      <c r="O130" s="107">
        <f>K130</f>
        <v>0</v>
      </c>
      <c r="P130" s="103">
        <f t="shared" si="22"/>
        <v>0</v>
      </c>
      <c r="Q130" s="6"/>
      <c r="R130" s="6"/>
      <c r="S130" s="6"/>
      <c r="T130" s="6"/>
      <c r="U130" s="6"/>
    </row>
    <row r="131" spans="1:21" s="13" customFormat="1" x14ac:dyDescent="0.2">
      <c r="A131" s="50"/>
      <c r="B131" s="39"/>
      <c r="C131" s="39"/>
      <c r="D131" s="54" t="s">
        <v>514</v>
      </c>
      <c r="E131" s="64">
        <f>F131</f>
        <v>215000</v>
      </c>
      <c r="F131" s="107">
        <v>215000</v>
      </c>
      <c r="G131" s="107"/>
      <c r="H131" s="107"/>
      <c r="I131" s="107"/>
      <c r="J131" s="64">
        <f t="shared" si="19"/>
        <v>0</v>
      </c>
      <c r="K131" s="107"/>
      <c r="L131" s="107"/>
      <c r="M131" s="107"/>
      <c r="N131" s="107"/>
      <c r="O131" s="107">
        <f>K131</f>
        <v>0</v>
      </c>
      <c r="P131" s="103">
        <f t="shared" si="22"/>
        <v>215000</v>
      </c>
      <c r="Q131" s="11"/>
      <c r="R131" s="11"/>
      <c r="S131" s="11"/>
      <c r="T131" s="11"/>
      <c r="U131" s="11"/>
    </row>
    <row r="132" spans="1:21" s="13" customFormat="1" ht="25.5" hidden="1" x14ac:dyDescent="0.2">
      <c r="A132" s="50"/>
      <c r="B132" s="39"/>
      <c r="C132" s="39"/>
      <c r="D132" s="54" t="s">
        <v>498</v>
      </c>
      <c r="E132" s="64"/>
      <c r="F132" s="107"/>
      <c r="G132" s="107"/>
      <c r="H132" s="107"/>
      <c r="I132" s="107"/>
      <c r="J132" s="64"/>
      <c r="K132" s="107"/>
      <c r="L132" s="107"/>
      <c r="M132" s="107"/>
      <c r="N132" s="107"/>
      <c r="O132" s="107"/>
      <c r="P132" s="103">
        <f t="shared" si="22"/>
        <v>0</v>
      </c>
      <c r="Q132" s="11"/>
      <c r="R132" s="11"/>
      <c r="S132" s="11"/>
      <c r="T132" s="11"/>
      <c r="U132" s="11"/>
    </row>
    <row r="133" spans="1:21" s="27" customFormat="1" ht="25.5" hidden="1" x14ac:dyDescent="0.2">
      <c r="A133" s="52" t="s">
        <v>535</v>
      </c>
      <c r="B133" s="14" t="s">
        <v>523</v>
      </c>
      <c r="C133" s="14"/>
      <c r="D133" s="20" t="s">
        <v>538</v>
      </c>
      <c r="E133" s="68">
        <f>E134+E136</f>
        <v>0</v>
      </c>
      <c r="F133" s="68"/>
      <c r="G133" s="68"/>
      <c r="H133" s="68"/>
      <c r="I133" s="68">
        <f t="shared" ref="I133:O133" si="23">I134+I136</f>
        <v>0</v>
      </c>
      <c r="J133" s="68">
        <f t="shared" si="23"/>
        <v>347197</v>
      </c>
      <c r="K133" s="68"/>
      <c r="L133" s="68"/>
      <c r="M133" s="68">
        <f t="shared" si="23"/>
        <v>0</v>
      </c>
      <c r="N133" s="68">
        <f t="shared" si="23"/>
        <v>0</v>
      </c>
      <c r="O133" s="68">
        <f t="shared" si="23"/>
        <v>347197</v>
      </c>
      <c r="P133" s="88">
        <f t="shared" si="22"/>
        <v>347197</v>
      </c>
      <c r="Q133" s="28"/>
      <c r="R133" s="28"/>
      <c r="S133" s="28"/>
      <c r="T133" s="28"/>
      <c r="U133" s="28"/>
    </row>
    <row r="134" spans="1:21" s="13" customFormat="1" ht="25.5" hidden="1" x14ac:dyDescent="0.2">
      <c r="A134" s="50" t="s">
        <v>547</v>
      </c>
      <c r="B134" s="39" t="s">
        <v>548</v>
      </c>
      <c r="C134" s="39" t="s">
        <v>128</v>
      </c>
      <c r="D134" s="70" t="s">
        <v>549</v>
      </c>
      <c r="E134" s="64">
        <f>F134</f>
        <v>0</v>
      </c>
      <c r="F134" s="64"/>
      <c r="G134" s="64"/>
      <c r="H134" s="64"/>
      <c r="I134" s="64"/>
      <c r="J134" s="68">
        <f t="shared" si="19"/>
        <v>0</v>
      </c>
      <c r="K134" s="68"/>
      <c r="L134" s="68"/>
      <c r="M134" s="68"/>
      <c r="N134" s="68"/>
      <c r="O134" s="69">
        <f>K134</f>
        <v>0</v>
      </c>
      <c r="P134" s="103">
        <f t="shared" si="22"/>
        <v>0</v>
      </c>
      <c r="Q134" s="11"/>
      <c r="R134" s="11"/>
      <c r="S134" s="11"/>
      <c r="T134" s="11"/>
      <c r="U134" s="11"/>
    </row>
    <row r="135" spans="1:21" s="13" customFormat="1" ht="25.5" hidden="1" x14ac:dyDescent="0.2">
      <c r="A135" s="50"/>
      <c r="B135" s="39"/>
      <c r="C135" s="39"/>
      <c r="D135" s="71" t="s">
        <v>550</v>
      </c>
      <c r="E135" s="64"/>
      <c r="F135" s="64"/>
      <c r="G135" s="64"/>
      <c r="H135" s="64"/>
      <c r="I135" s="64"/>
      <c r="J135" s="64">
        <f t="shared" si="19"/>
        <v>0</v>
      </c>
      <c r="K135" s="64"/>
      <c r="L135" s="64"/>
      <c r="M135" s="64"/>
      <c r="N135" s="64"/>
      <c r="O135" s="107">
        <f>K135</f>
        <v>0</v>
      </c>
      <c r="P135" s="103">
        <f t="shared" si="22"/>
        <v>0</v>
      </c>
      <c r="Q135" s="11"/>
      <c r="R135" s="11"/>
      <c r="S135" s="11"/>
      <c r="T135" s="11"/>
      <c r="U135" s="11"/>
    </row>
    <row r="136" spans="1:21" s="13" customFormat="1" ht="25.5" x14ac:dyDescent="0.2">
      <c r="A136" s="50" t="s">
        <v>536</v>
      </c>
      <c r="B136" s="39" t="s">
        <v>537</v>
      </c>
      <c r="C136" s="39" t="s">
        <v>128</v>
      </c>
      <c r="D136" s="78" t="s">
        <v>540</v>
      </c>
      <c r="E136" s="64">
        <f>F136</f>
        <v>0</v>
      </c>
      <c r="F136" s="107"/>
      <c r="G136" s="107"/>
      <c r="H136" s="107"/>
      <c r="I136" s="107"/>
      <c r="J136" s="68">
        <f t="shared" si="19"/>
        <v>347197</v>
      </c>
      <c r="K136" s="69">
        <v>347197</v>
      </c>
      <c r="L136" s="69"/>
      <c r="M136" s="69"/>
      <c r="N136" s="69"/>
      <c r="O136" s="69">
        <f>K136</f>
        <v>347197</v>
      </c>
      <c r="P136" s="103">
        <f t="shared" si="22"/>
        <v>347197</v>
      </c>
      <c r="Q136" s="11"/>
      <c r="R136" s="11"/>
      <c r="S136" s="11"/>
      <c r="T136" s="11"/>
      <c r="U136" s="11"/>
    </row>
    <row r="137" spans="1:21" s="13" customFormat="1" ht="25.5" x14ac:dyDescent="0.2">
      <c r="A137" s="50"/>
      <c r="B137" s="39"/>
      <c r="C137" s="39"/>
      <c r="D137" s="54" t="s">
        <v>541</v>
      </c>
      <c r="E137" s="64">
        <f>F137</f>
        <v>0</v>
      </c>
      <c r="F137" s="107"/>
      <c r="G137" s="107"/>
      <c r="H137" s="107"/>
      <c r="I137" s="107"/>
      <c r="J137" s="64">
        <f t="shared" si="19"/>
        <v>347197</v>
      </c>
      <c r="K137" s="107">
        <v>347197</v>
      </c>
      <c r="L137" s="107"/>
      <c r="M137" s="107"/>
      <c r="N137" s="107"/>
      <c r="O137" s="107">
        <f>K137</f>
        <v>347197</v>
      </c>
      <c r="P137" s="103">
        <f t="shared" si="22"/>
        <v>347197</v>
      </c>
      <c r="Q137" s="11"/>
      <c r="R137" s="11"/>
      <c r="S137" s="11"/>
      <c r="T137" s="11"/>
      <c r="U137" s="11"/>
    </row>
    <row r="138" spans="1:21" s="13" customFormat="1" hidden="1" x14ac:dyDescent="0.2">
      <c r="A138" s="50" t="s">
        <v>641</v>
      </c>
      <c r="B138" s="39"/>
      <c r="C138" s="39"/>
      <c r="D138" s="38"/>
      <c r="E138" s="64">
        <f>F138</f>
        <v>0</v>
      </c>
      <c r="F138" s="107"/>
      <c r="G138" s="107"/>
      <c r="H138" s="107"/>
      <c r="I138" s="107"/>
      <c r="J138" s="64">
        <f>L138+O138</f>
        <v>0</v>
      </c>
      <c r="K138" s="107"/>
      <c r="L138" s="107"/>
      <c r="M138" s="107"/>
      <c r="N138" s="107"/>
      <c r="O138" s="107">
        <f>K138</f>
        <v>0</v>
      </c>
      <c r="P138" s="103">
        <f t="shared" si="22"/>
        <v>0</v>
      </c>
      <c r="Q138" s="11"/>
      <c r="R138" s="11"/>
      <c r="S138" s="11"/>
      <c r="T138" s="11"/>
      <c r="U138" s="11"/>
    </row>
    <row r="139" spans="1:21" ht="25.5" x14ac:dyDescent="0.2">
      <c r="A139" s="53" t="s">
        <v>176</v>
      </c>
      <c r="B139" s="80"/>
      <c r="C139" s="81"/>
      <c r="D139" s="82" t="s">
        <v>9</v>
      </c>
      <c r="E139" s="100">
        <f>E141</f>
        <v>51538300</v>
      </c>
      <c r="F139" s="100">
        <f t="shared" ref="F139:P139" si="24">F141</f>
        <v>51538300</v>
      </c>
      <c r="G139" s="100">
        <f t="shared" si="24"/>
        <v>31191800</v>
      </c>
      <c r="H139" s="100">
        <f t="shared" si="24"/>
        <v>1416400</v>
      </c>
      <c r="I139" s="100">
        <f t="shared" si="24"/>
        <v>0</v>
      </c>
      <c r="J139" s="100">
        <f t="shared" si="24"/>
        <v>1488792</v>
      </c>
      <c r="K139" s="100">
        <f>K141</f>
        <v>862000</v>
      </c>
      <c r="L139" s="100">
        <f t="shared" si="24"/>
        <v>626792</v>
      </c>
      <c r="M139" s="100">
        <f t="shared" si="24"/>
        <v>37780</v>
      </c>
      <c r="N139" s="100">
        <f t="shared" si="24"/>
        <v>382800</v>
      </c>
      <c r="O139" s="100">
        <f t="shared" si="24"/>
        <v>862000</v>
      </c>
      <c r="P139" s="100">
        <f t="shared" si="24"/>
        <v>53027092</v>
      </c>
      <c r="Q139" s="6"/>
      <c r="R139" s="190"/>
      <c r="S139" s="6"/>
      <c r="T139" s="6"/>
      <c r="U139" s="6"/>
    </row>
    <row r="140" spans="1:21" x14ac:dyDescent="0.2">
      <c r="A140" s="53"/>
      <c r="B140" s="80"/>
      <c r="C140" s="81"/>
      <c r="D140" s="85" t="s">
        <v>514</v>
      </c>
      <c r="E140" s="67">
        <f>E209+E223</f>
        <v>328000</v>
      </c>
      <c r="F140" s="67">
        <f>F209+F223</f>
        <v>328000</v>
      </c>
      <c r="G140" s="100"/>
      <c r="H140" s="100"/>
      <c r="I140" s="100"/>
      <c r="J140" s="100"/>
      <c r="K140" s="100"/>
      <c r="L140" s="100"/>
      <c r="M140" s="100"/>
      <c r="N140" s="100"/>
      <c r="O140" s="100"/>
      <c r="P140" s="100">
        <f t="shared" ref="P140:P158" si="25">E140+J140</f>
        <v>328000</v>
      </c>
      <c r="Q140" s="6"/>
      <c r="R140" s="6"/>
      <c r="S140" s="6"/>
      <c r="T140" s="6"/>
      <c r="U140" s="6"/>
    </row>
    <row r="141" spans="1:21" ht="25.5" x14ac:dyDescent="0.2">
      <c r="A141" s="51" t="s">
        <v>239</v>
      </c>
      <c r="B141" s="96"/>
      <c r="C141" s="81"/>
      <c r="D141" s="85" t="s">
        <v>9</v>
      </c>
      <c r="E141" s="88">
        <f t="shared" ref="E141:E184" si="26">F141+I141</f>
        <v>51538300</v>
      </c>
      <c r="F141" s="100">
        <f>F142+F144+F146+F151+F153+F160+F161+F162+F163+F165+F167+F169+F171+F173+F175+F177+F181+F185+F187+F189+F191+F193+F195+F198+F200+F201+F203+F204+F206+F208+F210+F213+F214+F219+F222+F225</f>
        <v>51538300</v>
      </c>
      <c r="G141" s="100">
        <f>G142+G144+G146+G151+G153+G160+G161+G162+G163+G165+G167+G169+G171+G173+G175+G177+G181+G185+G187+G189+G191+G193+G195+G198+G200+G201+G203+G204+G206+G208+G210+G213+G214+G219+G222+G225</f>
        <v>31191800</v>
      </c>
      <c r="H141" s="100">
        <f>H142+H144+H146+H151+H153+H160+H161+H162+H163+H165+H167+H169+H171+H173+H175+H177+H181+H185+H187+H189+H191+H193+H195+H198+H200+H201+H203+H204+H206+H208+H210+H213+H214+H219+H222+H225</f>
        <v>1416400</v>
      </c>
      <c r="I141" s="100">
        <f>I142+I144+I146+I151+I153+I160+I161+I162+I163+I165+I167+I169+I171+I173+I175+I177+I181+I185+I187+I189+I191+I193+I195+I198+I200+I201+I203+I204+I206+I208+I210+I213+I214+I219+I222+I225</f>
        <v>0</v>
      </c>
      <c r="J141" s="100">
        <f t="shared" ref="J141:O141" si="27">J142+J143+J150+J159+J164+J183+J197+J202+J205+J208+J210+J212+J214+J219+J221+J224+J216</f>
        <v>1488792</v>
      </c>
      <c r="K141" s="100">
        <f t="shared" si="27"/>
        <v>862000</v>
      </c>
      <c r="L141" s="100">
        <f t="shared" si="27"/>
        <v>626792</v>
      </c>
      <c r="M141" s="100">
        <f t="shared" si="27"/>
        <v>37780</v>
      </c>
      <c r="N141" s="100">
        <f t="shared" si="27"/>
        <v>382800</v>
      </c>
      <c r="O141" s="100">
        <f t="shared" si="27"/>
        <v>862000</v>
      </c>
      <c r="P141" s="88">
        <f t="shared" si="25"/>
        <v>53027092</v>
      </c>
      <c r="Q141" s="6"/>
      <c r="R141" s="6"/>
      <c r="S141" s="6"/>
      <c r="T141" s="6"/>
      <c r="U141" s="6"/>
    </row>
    <row r="142" spans="1:21" s="6" customFormat="1" ht="25.5" x14ac:dyDescent="0.2">
      <c r="A142" s="51" t="s">
        <v>240</v>
      </c>
      <c r="B142" s="36" t="s">
        <v>197</v>
      </c>
      <c r="C142" s="36" t="s">
        <v>122</v>
      </c>
      <c r="D142" s="99" t="s">
        <v>196</v>
      </c>
      <c r="E142" s="68">
        <f t="shared" si="26"/>
        <v>26807700</v>
      </c>
      <c r="F142" s="69">
        <v>26807700</v>
      </c>
      <c r="G142" s="69">
        <f>19922600+1000000</f>
        <v>20922600</v>
      </c>
      <c r="H142" s="69">
        <v>476100</v>
      </c>
      <c r="I142" s="69"/>
      <c r="J142" s="68">
        <f t="shared" ref="J142:J184" si="28">L142+O142</f>
        <v>500000</v>
      </c>
      <c r="K142" s="69">
        <v>500000</v>
      </c>
      <c r="L142" s="69"/>
      <c r="M142" s="69"/>
      <c r="N142" s="69"/>
      <c r="O142" s="69">
        <f>K142</f>
        <v>500000</v>
      </c>
      <c r="P142" s="88">
        <f t="shared" si="25"/>
        <v>27307700</v>
      </c>
    </row>
    <row r="143" spans="1:21" s="6" customFormat="1" ht="38.25" hidden="1" x14ac:dyDescent="0.2">
      <c r="A143" s="51" t="s">
        <v>241</v>
      </c>
      <c r="B143" s="43" t="s">
        <v>152</v>
      </c>
      <c r="C143" s="94"/>
      <c r="D143" s="73" t="s">
        <v>98</v>
      </c>
      <c r="E143" s="68">
        <f t="shared" si="26"/>
        <v>0</v>
      </c>
      <c r="F143" s="69">
        <f t="shared" ref="F143:O143" si="29">F144+F146</f>
        <v>0</v>
      </c>
      <c r="G143" s="69">
        <f t="shared" si="29"/>
        <v>0</v>
      </c>
      <c r="H143" s="69">
        <f t="shared" si="29"/>
        <v>0</v>
      </c>
      <c r="I143" s="69">
        <f t="shared" si="29"/>
        <v>0</v>
      </c>
      <c r="J143" s="69">
        <f t="shared" si="29"/>
        <v>0</v>
      </c>
      <c r="K143" s="69"/>
      <c r="L143" s="69"/>
      <c r="M143" s="69"/>
      <c r="N143" s="69">
        <f t="shared" si="29"/>
        <v>0</v>
      </c>
      <c r="O143" s="69">
        <f t="shared" si="29"/>
        <v>0</v>
      </c>
      <c r="P143" s="88">
        <f t="shared" si="25"/>
        <v>0</v>
      </c>
    </row>
    <row r="144" spans="1:21" s="11" customFormat="1" ht="25.5" hidden="1" x14ac:dyDescent="0.2">
      <c r="A144" s="50" t="s">
        <v>243</v>
      </c>
      <c r="B144" s="123" t="s">
        <v>36</v>
      </c>
      <c r="C144" s="124" t="s">
        <v>124</v>
      </c>
      <c r="D144" s="125" t="s">
        <v>242</v>
      </c>
      <c r="E144" s="68">
        <f t="shared" si="26"/>
        <v>0</v>
      </c>
      <c r="F144" s="107"/>
      <c r="G144" s="107"/>
      <c r="H144" s="107"/>
      <c r="I144" s="107"/>
      <c r="J144" s="68">
        <f t="shared" si="28"/>
        <v>0</v>
      </c>
      <c r="K144" s="107"/>
      <c r="L144" s="107"/>
      <c r="M144" s="107"/>
      <c r="N144" s="107"/>
      <c r="O144" s="107"/>
      <c r="P144" s="88">
        <f t="shared" si="25"/>
        <v>0</v>
      </c>
    </row>
    <row r="145" spans="1:21" s="28" customFormat="1" ht="66.75" hidden="1" customHeight="1" x14ac:dyDescent="0.2">
      <c r="A145" s="52"/>
      <c r="B145" s="43"/>
      <c r="C145" s="126"/>
      <c r="D145" s="73" t="s">
        <v>449</v>
      </c>
      <c r="E145" s="68">
        <f t="shared" si="26"/>
        <v>0</v>
      </c>
      <c r="F145" s="69">
        <f>F144</f>
        <v>0</v>
      </c>
      <c r="G145" s="69"/>
      <c r="H145" s="69"/>
      <c r="I145" s="69"/>
      <c r="J145" s="68">
        <f t="shared" si="28"/>
        <v>0</v>
      </c>
      <c r="K145" s="69"/>
      <c r="L145" s="69"/>
      <c r="M145" s="69"/>
      <c r="N145" s="69"/>
      <c r="O145" s="69"/>
      <c r="P145" s="88">
        <f t="shared" si="25"/>
        <v>0</v>
      </c>
    </row>
    <row r="146" spans="1:21" s="11" customFormat="1" ht="25.5" hidden="1" x14ac:dyDescent="0.2">
      <c r="A146" s="50" t="s">
        <v>244</v>
      </c>
      <c r="B146" s="123" t="s">
        <v>37</v>
      </c>
      <c r="C146" s="124" t="s">
        <v>57</v>
      </c>
      <c r="D146" s="127" t="s">
        <v>100</v>
      </c>
      <c r="E146" s="68">
        <f t="shared" si="26"/>
        <v>0</v>
      </c>
      <c r="F146" s="107"/>
      <c r="G146" s="107"/>
      <c r="H146" s="107"/>
      <c r="I146" s="107"/>
      <c r="J146" s="68">
        <f t="shared" si="28"/>
        <v>0</v>
      </c>
      <c r="K146" s="107"/>
      <c r="L146" s="107"/>
      <c r="M146" s="107"/>
      <c r="N146" s="107"/>
      <c r="O146" s="107"/>
      <c r="P146" s="88">
        <f t="shared" si="25"/>
        <v>0</v>
      </c>
    </row>
    <row r="147" spans="1:21" s="28" customFormat="1" ht="67.5" hidden="1" customHeight="1" x14ac:dyDescent="0.2">
      <c r="A147" s="52"/>
      <c r="B147" s="43"/>
      <c r="C147" s="126"/>
      <c r="D147" s="73" t="s">
        <v>449</v>
      </c>
      <c r="E147" s="68">
        <f t="shared" si="26"/>
        <v>0</v>
      </c>
      <c r="F147" s="69">
        <f>F146</f>
        <v>0</v>
      </c>
      <c r="G147" s="69"/>
      <c r="H147" s="69"/>
      <c r="I147" s="69"/>
      <c r="J147" s="68">
        <f t="shared" si="28"/>
        <v>0</v>
      </c>
      <c r="K147" s="69"/>
      <c r="L147" s="69"/>
      <c r="M147" s="69"/>
      <c r="N147" s="69"/>
      <c r="O147" s="69"/>
      <c r="P147" s="88">
        <f t="shared" si="25"/>
        <v>0</v>
      </c>
    </row>
    <row r="148" spans="1:21" s="6" customFormat="1" ht="25.5" hidden="1" x14ac:dyDescent="0.2">
      <c r="A148" s="51">
        <v>1513017</v>
      </c>
      <c r="B148" s="43" t="s">
        <v>58</v>
      </c>
      <c r="C148" s="94" t="s">
        <v>57</v>
      </c>
      <c r="D148" s="37" t="s">
        <v>59</v>
      </c>
      <c r="E148" s="68">
        <f t="shared" si="26"/>
        <v>0</v>
      </c>
      <c r="F148" s="69"/>
      <c r="G148" s="69"/>
      <c r="H148" s="69"/>
      <c r="I148" s="69"/>
      <c r="J148" s="117">
        <f t="shared" si="28"/>
        <v>0</v>
      </c>
      <c r="K148" s="69"/>
      <c r="L148" s="69"/>
      <c r="M148" s="69"/>
      <c r="N148" s="69"/>
      <c r="O148" s="69"/>
      <c r="P148" s="88">
        <f t="shared" si="25"/>
        <v>0</v>
      </c>
    </row>
    <row r="149" spans="1:21" s="6" customFormat="1" ht="51" hidden="1" x14ac:dyDescent="0.2">
      <c r="A149" s="51"/>
      <c r="B149" s="43"/>
      <c r="C149" s="94"/>
      <c r="D149" s="73" t="s">
        <v>10</v>
      </c>
      <c r="E149" s="68">
        <f t="shared" si="26"/>
        <v>0</v>
      </c>
      <c r="F149" s="69"/>
      <c r="G149" s="69"/>
      <c r="H149" s="69"/>
      <c r="I149" s="69"/>
      <c r="J149" s="117">
        <f t="shared" si="28"/>
        <v>0</v>
      </c>
      <c r="K149" s="69"/>
      <c r="L149" s="69"/>
      <c r="M149" s="69"/>
      <c r="N149" s="69"/>
      <c r="O149" s="69"/>
      <c r="P149" s="88">
        <f t="shared" si="25"/>
        <v>0</v>
      </c>
    </row>
    <row r="150" spans="1:21" s="6" customFormat="1" ht="25.5" hidden="1" x14ac:dyDescent="0.2">
      <c r="A150" s="51" t="s">
        <v>245</v>
      </c>
      <c r="B150" s="43" t="s">
        <v>153</v>
      </c>
      <c r="C150" s="94"/>
      <c r="D150" s="73" t="s">
        <v>101</v>
      </c>
      <c r="E150" s="68">
        <f t="shared" si="26"/>
        <v>0</v>
      </c>
      <c r="F150" s="69">
        <f>F151+F153+F155</f>
        <v>0</v>
      </c>
      <c r="G150" s="69">
        <f>G151+G153+G155</f>
        <v>0</v>
      </c>
      <c r="H150" s="69">
        <f>H151+H153+H155</f>
        <v>0</v>
      </c>
      <c r="I150" s="69">
        <f>I151+I153+I155</f>
        <v>0</v>
      </c>
      <c r="J150" s="68">
        <f t="shared" si="28"/>
        <v>0</v>
      </c>
      <c r="K150" s="69">
        <f>K151+K153+K155</f>
        <v>0</v>
      </c>
      <c r="L150" s="69">
        <f>L151+L153+L155</f>
        <v>0</v>
      </c>
      <c r="M150" s="69">
        <f>M151+M153+M155</f>
        <v>0</v>
      </c>
      <c r="N150" s="69">
        <f>N151+N153+N155</f>
        <v>0</v>
      </c>
      <c r="O150" s="69">
        <f>O151+O153+O155</f>
        <v>0</v>
      </c>
      <c r="P150" s="88">
        <f t="shared" si="25"/>
        <v>0</v>
      </c>
    </row>
    <row r="151" spans="1:21" s="11" customFormat="1" ht="25.5" hidden="1" x14ac:dyDescent="0.2">
      <c r="A151" s="50" t="s">
        <v>247</v>
      </c>
      <c r="B151" s="123" t="s">
        <v>38</v>
      </c>
      <c r="C151" s="124" t="s">
        <v>124</v>
      </c>
      <c r="D151" s="31" t="s">
        <v>246</v>
      </c>
      <c r="E151" s="68">
        <f t="shared" si="26"/>
        <v>0</v>
      </c>
      <c r="F151" s="107"/>
      <c r="G151" s="107"/>
      <c r="H151" s="107"/>
      <c r="I151" s="107"/>
      <c r="J151" s="68">
        <f t="shared" si="28"/>
        <v>0</v>
      </c>
      <c r="K151" s="107"/>
      <c r="L151" s="107"/>
      <c r="M151" s="107"/>
      <c r="N151" s="107"/>
      <c r="O151" s="107"/>
      <c r="P151" s="88">
        <f t="shared" si="25"/>
        <v>0</v>
      </c>
    </row>
    <row r="152" spans="1:21" s="6" customFormat="1" ht="42.75" hidden="1" customHeight="1" x14ac:dyDescent="0.2">
      <c r="A152" s="51"/>
      <c r="B152" s="43"/>
      <c r="C152" s="126"/>
      <c r="D152" s="37" t="s">
        <v>450</v>
      </c>
      <c r="E152" s="68">
        <f t="shared" si="26"/>
        <v>0</v>
      </c>
      <c r="F152" s="69">
        <f>F151</f>
        <v>0</v>
      </c>
      <c r="G152" s="69"/>
      <c r="H152" s="69"/>
      <c r="I152" s="69"/>
      <c r="J152" s="68">
        <f t="shared" si="28"/>
        <v>0</v>
      </c>
      <c r="K152" s="69"/>
      <c r="L152" s="69"/>
      <c r="M152" s="69"/>
      <c r="N152" s="69"/>
      <c r="O152" s="69"/>
      <c r="P152" s="88">
        <f t="shared" si="25"/>
        <v>0</v>
      </c>
    </row>
    <row r="153" spans="1:21" s="11" customFormat="1" ht="25.5" hidden="1" x14ac:dyDescent="0.2">
      <c r="A153" s="50" t="s">
        <v>248</v>
      </c>
      <c r="B153" s="123" t="s">
        <v>39</v>
      </c>
      <c r="C153" s="124" t="s">
        <v>57</v>
      </c>
      <c r="D153" s="127" t="s">
        <v>102</v>
      </c>
      <c r="E153" s="68">
        <f t="shared" si="26"/>
        <v>0</v>
      </c>
      <c r="F153" s="107"/>
      <c r="G153" s="107"/>
      <c r="H153" s="107"/>
      <c r="I153" s="107"/>
      <c r="J153" s="68">
        <f t="shared" si="28"/>
        <v>0</v>
      </c>
      <c r="K153" s="107"/>
      <c r="L153" s="107"/>
      <c r="M153" s="107"/>
      <c r="N153" s="107"/>
      <c r="O153" s="107"/>
      <c r="P153" s="88">
        <f t="shared" si="25"/>
        <v>0</v>
      </c>
    </row>
    <row r="154" spans="1:21" s="6" customFormat="1" ht="42" hidden="1" customHeight="1" x14ac:dyDescent="0.2">
      <c r="A154" s="51"/>
      <c r="B154" s="43"/>
      <c r="C154" s="126"/>
      <c r="D154" s="73" t="s">
        <v>450</v>
      </c>
      <c r="E154" s="68">
        <f t="shared" si="26"/>
        <v>0</v>
      </c>
      <c r="F154" s="69">
        <f>F153</f>
        <v>0</v>
      </c>
      <c r="G154" s="69"/>
      <c r="H154" s="69"/>
      <c r="I154" s="69"/>
      <c r="J154" s="68">
        <f t="shared" si="28"/>
        <v>0</v>
      </c>
      <c r="K154" s="69"/>
      <c r="L154" s="69"/>
      <c r="M154" s="69"/>
      <c r="N154" s="69"/>
      <c r="O154" s="69"/>
      <c r="P154" s="88">
        <f t="shared" si="25"/>
        <v>0</v>
      </c>
    </row>
    <row r="155" spans="1:21" s="11" customFormat="1" hidden="1" x14ac:dyDescent="0.2">
      <c r="A155" s="50" t="s">
        <v>250</v>
      </c>
      <c r="B155" s="123" t="s">
        <v>40</v>
      </c>
      <c r="C155" s="124" t="s">
        <v>57</v>
      </c>
      <c r="D155" s="32" t="s">
        <v>249</v>
      </c>
      <c r="E155" s="68">
        <f t="shared" si="26"/>
        <v>0</v>
      </c>
      <c r="F155" s="107"/>
      <c r="G155" s="107"/>
      <c r="H155" s="107"/>
      <c r="I155" s="107"/>
      <c r="J155" s="68">
        <f t="shared" si="28"/>
        <v>0</v>
      </c>
      <c r="K155" s="107"/>
      <c r="L155" s="107"/>
      <c r="M155" s="107"/>
      <c r="N155" s="107"/>
      <c r="O155" s="107"/>
      <c r="P155" s="88">
        <f t="shared" si="25"/>
        <v>0</v>
      </c>
    </row>
    <row r="156" spans="1:21" s="6" customFormat="1" ht="38.25" hidden="1" x14ac:dyDescent="0.2">
      <c r="A156" s="51"/>
      <c r="B156" s="43"/>
      <c r="C156" s="126"/>
      <c r="D156" s="73" t="s">
        <v>26</v>
      </c>
      <c r="E156" s="68">
        <f t="shared" si="26"/>
        <v>0</v>
      </c>
      <c r="F156" s="69">
        <f>F155</f>
        <v>0</v>
      </c>
      <c r="G156" s="69"/>
      <c r="H156" s="69"/>
      <c r="I156" s="69"/>
      <c r="J156" s="68">
        <f t="shared" si="28"/>
        <v>0</v>
      </c>
      <c r="K156" s="69"/>
      <c r="L156" s="69"/>
      <c r="M156" s="69"/>
      <c r="N156" s="69"/>
      <c r="O156" s="69"/>
      <c r="P156" s="88">
        <f t="shared" si="25"/>
        <v>0</v>
      </c>
    </row>
    <row r="157" spans="1:21" s="6" customFormat="1" ht="38.25" hidden="1" x14ac:dyDescent="0.2">
      <c r="A157" s="51">
        <v>1513028</v>
      </c>
      <c r="B157" s="43" t="s">
        <v>61</v>
      </c>
      <c r="C157" s="14" t="s">
        <v>57</v>
      </c>
      <c r="D157" s="20" t="s">
        <v>103</v>
      </c>
      <c r="E157" s="68">
        <f t="shared" si="26"/>
        <v>0</v>
      </c>
      <c r="F157" s="69">
        <v>0</v>
      </c>
      <c r="G157" s="69">
        <v>0</v>
      </c>
      <c r="H157" s="69"/>
      <c r="I157" s="69"/>
      <c r="J157" s="68">
        <f t="shared" si="28"/>
        <v>0</v>
      </c>
      <c r="K157" s="69"/>
      <c r="L157" s="69"/>
      <c r="M157" s="69"/>
      <c r="N157" s="69"/>
      <c r="O157" s="69"/>
      <c r="P157" s="88">
        <f t="shared" si="25"/>
        <v>0</v>
      </c>
    </row>
    <row r="158" spans="1:21" ht="38.25" hidden="1" x14ac:dyDescent="0.2">
      <c r="A158" s="51"/>
      <c r="B158" s="96"/>
      <c r="C158" s="14"/>
      <c r="D158" s="73" t="s">
        <v>26</v>
      </c>
      <c r="E158" s="68">
        <f t="shared" si="26"/>
        <v>0</v>
      </c>
      <c r="F158" s="69">
        <f t="shared" ref="F158:O158" si="30">F157</f>
        <v>0</v>
      </c>
      <c r="G158" s="69">
        <f t="shared" si="30"/>
        <v>0</v>
      </c>
      <c r="H158" s="69">
        <f t="shared" si="30"/>
        <v>0</v>
      </c>
      <c r="I158" s="69">
        <f t="shared" si="30"/>
        <v>0</v>
      </c>
      <c r="J158" s="68">
        <f t="shared" si="28"/>
        <v>0</v>
      </c>
      <c r="K158" s="69">
        <f>K157</f>
        <v>0</v>
      </c>
      <c r="L158" s="69">
        <f t="shared" si="30"/>
        <v>0</v>
      </c>
      <c r="M158" s="69">
        <f t="shared" si="30"/>
        <v>0</v>
      </c>
      <c r="N158" s="69">
        <f t="shared" si="30"/>
        <v>0</v>
      </c>
      <c r="O158" s="69">
        <f t="shared" si="30"/>
        <v>0</v>
      </c>
      <c r="P158" s="88">
        <f t="shared" si="25"/>
        <v>0</v>
      </c>
      <c r="Q158" s="6"/>
      <c r="R158" s="6"/>
      <c r="S158" s="6"/>
      <c r="T158" s="6"/>
      <c r="U158" s="6"/>
    </row>
    <row r="159" spans="1:21" ht="38.25" hidden="1" x14ac:dyDescent="0.2">
      <c r="A159" s="51" t="s">
        <v>252</v>
      </c>
      <c r="B159" s="96" t="s">
        <v>158</v>
      </c>
      <c r="C159" s="14"/>
      <c r="D159" s="73" t="s">
        <v>251</v>
      </c>
      <c r="E159" s="68">
        <f t="shared" ref="E159:P159" si="31">SUM(E160:E163)</f>
        <v>796200</v>
      </c>
      <c r="F159" s="68">
        <f t="shared" si="31"/>
        <v>796200</v>
      </c>
      <c r="G159" s="68">
        <f t="shared" si="31"/>
        <v>0</v>
      </c>
      <c r="H159" s="68">
        <f t="shared" si="31"/>
        <v>0</v>
      </c>
      <c r="I159" s="68">
        <f t="shared" si="31"/>
        <v>0</v>
      </c>
      <c r="J159" s="68">
        <f t="shared" si="31"/>
        <v>0</v>
      </c>
      <c r="K159" s="68">
        <f>SUM(K160:K163)</f>
        <v>0</v>
      </c>
      <c r="L159" s="68">
        <f t="shared" si="31"/>
        <v>0</v>
      </c>
      <c r="M159" s="68">
        <f t="shared" si="31"/>
        <v>0</v>
      </c>
      <c r="N159" s="68">
        <f t="shared" si="31"/>
        <v>0</v>
      </c>
      <c r="O159" s="68">
        <f t="shared" si="31"/>
        <v>0</v>
      </c>
      <c r="P159" s="88">
        <f t="shared" si="31"/>
        <v>796200</v>
      </c>
      <c r="Q159" s="6"/>
      <c r="R159" s="6"/>
      <c r="S159" s="6"/>
      <c r="T159" s="6"/>
      <c r="U159" s="6"/>
    </row>
    <row r="160" spans="1:21" s="13" customFormat="1" x14ac:dyDescent="0.2">
      <c r="A160" s="50" t="s">
        <v>254</v>
      </c>
      <c r="B160" s="66" t="s">
        <v>159</v>
      </c>
      <c r="C160" s="39" t="s">
        <v>124</v>
      </c>
      <c r="D160" s="55" t="s">
        <v>253</v>
      </c>
      <c r="E160" s="64">
        <f>F160+I160</f>
        <v>184200</v>
      </c>
      <c r="F160" s="107">
        <v>184200</v>
      </c>
      <c r="G160" s="107"/>
      <c r="H160" s="107"/>
      <c r="I160" s="107"/>
      <c r="J160" s="64">
        <f>L160+O160</f>
        <v>0</v>
      </c>
      <c r="K160" s="107"/>
      <c r="L160" s="107"/>
      <c r="M160" s="107"/>
      <c r="N160" s="107"/>
      <c r="O160" s="107"/>
      <c r="P160" s="103">
        <f t="shared" ref="P160:P226" si="32">E160+J160</f>
        <v>184200</v>
      </c>
      <c r="Q160" s="11"/>
      <c r="R160" s="11"/>
      <c r="S160" s="11"/>
      <c r="T160" s="11"/>
      <c r="U160" s="11"/>
    </row>
    <row r="161" spans="1:21" s="13" customFormat="1" x14ac:dyDescent="0.2">
      <c r="A161" s="50" t="s">
        <v>256</v>
      </c>
      <c r="B161" s="66" t="s">
        <v>255</v>
      </c>
      <c r="C161" s="39" t="s">
        <v>25</v>
      </c>
      <c r="D161" s="55" t="s">
        <v>161</v>
      </c>
      <c r="E161" s="64">
        <f>F161+I161</f>
        <v>12000</v>
      </c>
      <c r="F161" s="107">
        <v>12000</v>
      </c>
      <c r="G161" s="107"/>
      <c r="H161" s="107"/>
      <c r="I161" s="107"/>
      <c r="J161" s="64">
        <f>L161+O161</f>
        <v>0</v>
      </c>
      <c r="K161" s="107"/>
      <c r="L161" s="107"/>
      <c r="M161" s="107"/>
      <c r="N161" s="107"/>
      <c r="O161" s="107"/>
      <c r="P161" s="103">
        <f t="shared" si="32"/>
        <v>12000</v>
      </c>
      <c r="Q161" s="11"/>
      <c r="R161" s="11"/>
      <c r="S161" s="11"/>
      <c r="T161" s="11"/>
      <c r="U161" s="11"/>
    </row>
    <row r="162" spans="1:21" s="13" customFormat="1" ht="25.5" hidden="1" x14ac:dyDescent="0.2">
      <c r="A162" s="50" t="s">
        <v>258</v>
      </c>
      <c r="B162" s="66" t="s">
        <v>160</v>
      </c>
      <c r="C162" s="39" t="s">
        <v>25</v>
      </c>
      <c r="D162" s="55" t="s">
        <v>257</v>
      </c>
      <c r="E162" s="64">
        <f>F162+I162</f>
        <v>0</v>
      </c>
      <c r="F162" s="107"/>
      <c r="G162" s="107"/>
      <c r="H162" s="107"/>
      <c r="I162" s="107"/>
      <c r="J162" s="64">
        <f>L162+O162</f>
        <v>0</v>
      </c>
      <c r="K162" s="107"/>
      <c r="L162" s="107"/>
      <c r="M162" s="107"/>
      <c r="N162" s="107"/>
      <c r="O162" s="107"/>
      <c r="P162" s="103">
        <f t="shared" si="32"/>
        <v>0</v>
      </c>
      <c r="Q162" s="11"/>
      <c r="R162" s="11"/>
      <c r="S162" s="11"/>
      <c r="T162" s="11"/>
      <c r="U162" s="11"/>
    </row>
    <row r="163" spans="1:21" s="13" customFormat="1" ht="25.5" x14ac:dyDescent="0.2">
      <c r="A163" s="50" t="s">
        <v>260</v>
      </c>
      <c r="B163" s="66" t="s">
        <v>259</v>
      </c>
      <c r="C163" s="39" t="s">
        <v>25</v>
      </c>
      <c r="D163" s="55" t="s">
        <v>162</v>
      </c>
      <c r="E163" s="64">
        <f>F163+I163</f>
        <v>600000</v>
      </c>
      <c r="F163" s="107">
        <v>600000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si="32"/>
        <v>600000</v>
      </c>
      <c r="Q163" s="11"/>
      <c r="R163" s="11"/>
      <c r="S163" s="11"/>
      <c r="T163" s="11"/>
      <c r="U163" s="11"/>
    </row>
    <row r="164" spans="1:21" ht="25.5" hidden="1" x14ac:dyDescent="0.2">
      <c r="A164" s="51" t="s">
        <v>261</v>
      </c>
      <c r="B164" s="96" t="s">
        <v>154</v>
      </c>
      <c r="C164" s="94"/>
      <c r="D164" s="76" t="s">
        <v>456</v>
      </c>
      <c r="E164" s="68">
        <f t="shared" si="26"/>
        <v>0</v>
      </c>
      <c r="F164" s="69">
        <f>F165+F167+F169+F171+F173+F175+F177+F179+F181</f>
        <v>0</v>
      </c>
      <c r="G164" s="69">
        <f t="shared" ref="G164:O164" si="33">G165+G167+G169+G171+G173+G175+G177+G179+G181</f>
        <v>0</v>
      </c>
      <c r="H164" s="69">
        <f t="shared" si="33"/>
        <v>0</v>
      </c>
      <c r="I164" s="69">
        <f t="shared" si="33"/>
        <v>0</v>
      </c>
      <c r="J164" s="68">
        <f t="shared" si="28"/>
        <v>0</v>
      </c>
      <c r="K164" s="69">
        <f>K165+K167+K169+K171+K173+K175+K177+K179+K181</f>
        <v>0</v>
      </c>
      <c r="L164" s="69">
        <f t="shared" si="33"/>
        <v>0</v>
      </c>
      <c r="M164" s="69">
        <f t="shared" si="33"/>
        <v>0</v>
      </c>
      <c r="N164" s="69">
        <f t="shared" si="33"/>
        <v>0</v>
      </c>
      <c r="O164" s="69">
        <f t="shared" si="33"/>
        <v>0</v>
      </c>
      <c r="P164" s="88">
        <f t="shared" si="32"/>
        <v>0</v>
      </c>
      <c r="Q164" s="6"/>
      <c r="R164" s="6"/>
      <c r="S164" s="6"/>
      <c r="T164" s="6"/>
      <c r="U164" s="6"/>
    </row>
    <row r="165" spans="1:21" s="11" customFormat="1" hidden="1" x14ac:dyDescent="0.2">
      <c r="A165" s="50" t="s">
        <v>263</v>
      </c>
      <c r="B165" s="123" t="s">
        <v>41</v>
      </c>
      <c r="C165" s="33" t="s">
        <v>1</v>
      </c>
      <c r="D165" s="55" t="s">
        <v>262</v>
      </c>
      <c r="E165" s="68">
        <f t="shared" si="26"/>
        <v>0</v>
      </c>
      <c r="F165" s="107"/>
      <c r="G165" s="107"/>
      <c r="H165" s="107"/>
      <c r="I165" s="107"/>
      <c r="J165" s="68">
        <f t="shared" si="28"/>
        <v>0</v>
      </c>
      <c r="K165" s="107"/>
      <c r="L165" s="107"/>
      <c r="M165" s="107"/>
      <c r="N165" s="107"/>
      <c r="O165" s="107"/>
      <c r="P165" s="88">
        <f t="shared" si="32"/>
        <v>0</v>
      </c>
    </row>
    <row r="166" spans="1:21" s="6" customFormat="1" ht="114.75" hidden="1" x14ac:dyDescent="0.2">
      <c r="A166" s="51"/>
      <c r="B166" s="43"/>
      <c r="C166" s="94"/>
      <c r="D166" s="128" t="s">
        <v>451</v>
      </c>
      <c r="E166" s="68">
        <f t="shared" si="26"/>
        <v>0</v>
      </c>
      <c r="F166" s="69">
        <f>F165</f>
        <v>0</v>
      </c>
      <c r="G166" s="69"/>
      <c r="H166" s="69"/>
      <c r="I166" s="69"/>
      <c r="J166" s="68">
        <f t="shared" si="28"/>
        <v>0</v>
      </c>
      <c r="K166" s="69"/>
      <c r="L166" s="69"/>
      <c r="M166" s="69"/>
      <c r="N166" s="69"/>
      <c r="O166" s="69"/>
      <c r="P166" s="88">
        <f t="shared" si="32"/>
        <v>0</v>
      </c>
    </row>
    <row r="167" spans="1:21" s="11" customFormat="1" hidden="1" x14ac:dyDescent="0.2">
      <c r="A167" s="50" t="s">
        <v>264</v>
      </c>
      <c r="B167" s="123" t="s">
        <v>42</v>
      </c>
      <c r="C167" s="33" t="s">
        <v>1</v>
      </c>
      <c r="D167" s="32" t="s">
        <v>108</v>
      </c>
      <c r="E167" s="68">
        <f t="shared" si="26"/>
        <v>0</v>
      </c>
      <c r="F167" s="107"/>
      <c r="G167" s="107"/>
      <c r="H167" s="107"/>
      <c r="I167" s="107"/>
      <c r="J167" s="68">
        <f t="shared" si="28"/>
        <v>0</v>
      </c>
      <c r="K167" s="107"/>
      <c r="L167" s="107"/>
      <c r="M167" s="107"/>
      <c r="N167" s="107"/>
      <c r="O167" s="107"/>
      <c r="P167" s="88">
        <f t="shared" si="32"/>
        <v>0</v>
      </c>
    </row>
    <row r="168" spans="1:21" s="6" customFormat="1" ht="114.75" hidden="1" x14ac:dyDescent="0.2">
      <c r="A168" s="51"/>
      <c r="B168" s="43"/>
      <c r="C168" s="94"/>
      <c r="D168" s="73" t="s">
        <v>451</v>
      </c>
      <c r="E168" s="68">
        <f t="shared" si="26"/>
        <v>0</v>
      </c>
      <c r="F168" s="69">
        <f>F167</f>
        <v>0</v>
      </c>
      <c r="G168" s="69"/>
      <c r="H168" s="69"/>
      <c r="I168" s="69"/>
      <c r="J168" s="68">
        <f t="shared" si="28"/>
        <v>0</v>
      </c>
      <c r="K168" s="69"/>
      <c r="L168" s="69"/>
      <c r="M168" s="69"/>
      <c r="N168" s="69"/>
      <c r="O168" s="69"/>
      <c r="P168" s="88">
        <f t="shared" si="32"/>
        <v>0</v>
      </c>
    </row>
    <row r="169" spans="1:21" s="11" customFormat="1" hidden="1" x14ac:dyDescent="0.2">
      <c r="A169" s="50" t="s">
        <v>265</v>
      </c>
      <c r="B169" s="123" t="s">
        <v>43</v>
      </c>
      <c r="C169" s="33" t="s">
        <v>1</v>
      </c>
      <c r="D169" s="32" t="s">
        <v>104</v>
      </c>
      <c r="E169" s="68">
        <f t="shared" si="26"/>
        <v>0</v>
      </c>
      <c r="F169" s="107"/>
      <c r="G169" s="107"/>
      <c r="H169" s="107"/>
      <c r="I169" s="107"/>
      <c r="J169" s="68">
        <f t="shared" si="28"/>
        <v>0</v>
      </c>
      <c r="K169" s="107"/>
      <c r="L169" s="107"/>
      <c r="M169" s="107"/>
      <c r="N169" s="107"/>
      <c r="O169" s="107"/>
      <c r="P169" s="88">
        <f t="shared" si="32"/>
        <v>0</v>
      </c>
    </row>
    <row r="170" spans="1:21" s="6" customFormat="1" ht="114.75" hidden="1" x14ac:dyDescent="0.2">
      <c r="A170" s="51"/>
      <c r="B170" s="43"/>
      <c r="C170" s="94"/>
      <c r="D170" s="128" t="s">
        <v>451</v>
      </c>
      <c r="E170" s="68">
        <f t="shared" si="26"/>
        <v>0</v>
      </c>
      <c r="F170" s="69">
        <f>F169</f>
        <v>0</v>
      </c>
      <c r="G170" s="69"/>
      <c r="H170" s="69"/>
      <c r="I170" s="69"/>
      <c r="J170" s="68">
        <f t="shared" si="28"/>
        <v>0</v>
      </c>
      <c r="K170" s="69"/>
      <c r="L170" s="69"/>
      <c r="M170" s="69"/>
      <c r="N170" s="69"/>
      <c r="O170" s="69"/>
      <c r="P170" s="88">
        <f t="shared" si="32"/>
        <v>0</v>
      </c>
    </row>
    <row r="171" spans="1:21" s="11" customFormat="1" hidden="1" x14ac:dyDescent="0.2">
      <c r="A171" s="50" t="s">
        <v>266</v>
      </c>
      <c r="B171" s="123" t="s">
        <v>44</v>
      </c>
      <c r="C171" s="33" t="s">
        <v>1</v>
      </c>
      <c r="D171" s="71" t="s">
        <v>105</v>
      </c>
      <c r="E171" s="68">
        <f t="shared" si="26"/>
        <v>0</v>
      </c>
      <c r="F171" s="107"/>
      <c r="G171" s="107"/>
      <c r="H171" s="107"/>
      <c r="I171" s="107"/>
      <c r="J171" s="68">
        <f t="shared" si="28"/>
        <v>0</v>
      </c>
      <c r="K171" s="107"/>
      <c r="L171" s="107"/>
      <c r="M171" s="107"/>
      <c r="N171" s="107"/>
      <c r="O171" s="107"/>
      <c r="P171" s="88">
        <f t="shared" si="32"/>
        <v>0</v>
      </c>
    </row>
    <row r="172" spans="1:21" s="6" customFormat="1" ht="114.75" hidden="1" x14ac:dyDescent="0.2">
      <c r="A172" s="51"/>
      <c r="B172" s="43"/>
      <c r="C172" s="94"/>
      <c r="D172" s="128" t="s">
        <v>451</v>
      </c>
      <c r="E172" s="68">
        <f t="shared" si="26"/>
        <v>0</v>
      </c>
      <c r="F172" s="69">
        <f>F171</f>
        <v>0</v>
      </c>
      <c r="G172" s="69"/>
      <c r="H172" s="69"/>
      <c r="I172" s="69"/>
      <c r="J172" s="68">
        <f t="shared" si="28"/>
        <v>0</v>
      </c>
      <c r="K172" s="69"/>
      <c r="L172" s="69"/>
      <c r="M172" s="69"/>
      <c r="N172" s="69"/>
      <c r="O172" s="69"/>
      <c r="P172" s="88">
        <f t="shared" si="32"/>
        <v>0</v>
      </c>
    </row>
    <row r="173" spans="1:21" s="11" customFormat="1" hidden="1" x14ac:dyDescent="0.2">
      <c r="A173" s="50" t="s">
        <v>267</v>
      </c>
      <c r="B173" s="123" t="s">
        <v>45</v>
      </c>
      <c r="C173" s="33" t="s">
        <v>1</v>
      </c>
      <c r="D173" s="55" t="s">
        <v>106</v>
      </c>
      <c r="E173" s="68">
        <f t="shared" si="26"/>
        <v>0</v>
      </c>
      <c r="F173" s="107"/>
      <c r="G173" s="107"/>
      <c r="H173" s="107"/>
      <c r="I173" s="107"/>
      <c r="J173" s="68">
        <f t="shared" si="28"/>
        <v>0</v>
      </c>
      <c r="K173" s="107"/>
      <c r="L173" s="107"/>
      <c r="M173" s="107"/>
      <c r="N173" s="107"/>
      <c r="O173" s="107"/>
      <c r="P173" s="88">
        <f t="shared" si="32"/>
        <v>0</v>
      </c>
    </row>
    <row r="174" spans="1:21" s="6" customFormat="1" ht="114.75" hidden="1" x14ac:dyDescent="0.2">
      <c r="A174" s="51"/>
      <c r="B174" s="43"/>
      <c r="C174" s="94"/>
      <c r="D174" s="128" t="s">
        <v>451</v>
      </c>
      <c r="E174" s="68">
        <f t="shared" si="26"/>
        <v>0</v>
      </c>
      <c r="F174" s="69">
        <f>F173</f>
        <v>0</v>
      </c>
      <c r="G174" s="69"/>
      <c r="H174" s="69"/>
      <c r="I174" s="69"/>
      <c r="J174" s="68">
        <f t="shared" si="28"/>
        <v>0</v>
      </c>
      <c r="K174" s="69"/>
      <c r="L174" s="69"/>
      <c r="M174" s="69"/>
      <c r="N174" s="69"/>
      <c r="O174" s="69"/>
      <c r="P174" s="88">
        <f t="shared" si="32"/>
        <v>0</v>
      </c>
    </row>
    <row r="175" spans="1:21" s="11" customFormat="1" hidden="1" x14ac:dyDescent="0.2">
      <c r="A175" s="50" t="s">
        <v>268</v>
      </c>
      <c r="B175" s="123" t="s">
        <v>46</v>
      </c>
      <c r="C175" s="33" t="s">
        <v>1</v>
      </c>
      <c r="D175" s="55" t="s">
        <v>107</v>
      </c>
      <c r="E175" s="68">
        <f t="shared" si="26"/>
        <v>0</v>
      </c>
      <c r="F175" s="107"/>
      <c r="G175" s="107"/>
      <c r="H175" s="107"/>
      <c r="I175" s="107"/>
      <c r="J175" s="68">
        <f t="shared" si="28"/>
        <v>0</v>
      </c>
      <c r="K175" s="107"/>
      <c r="L175" s="107"/>
      <c r="M175" s="107"/>
      <c r="N175" s="107"/>
      <c r="O175" s="107"/>
      <c r="P175" s="88">
        <f t="shared" si="32"/>
        <v>0</v>
      </c>
    </row>
    <row r="176" spans="1:21" s="6" customFormat="1" ht="114.75" hidden="1" x14ac:dyDescent="0.2">
      <c r="A176" s="51"/>
      <c r="B176" s="43"/>
      <c r="C176" s="94"/>
      <c r="D176" s="128" t="s">
        <v>451</v>
      </c>
      <c r="E176" s="68">
        <f t="shared" si="26"/>
        <v>0</v>
      </c>
      <c r="F176" s="69">
        <f>F175</f>
        <v>0</v>
      </c>
      <c r="G176" s="69"/>
      <c r="H176" s="69"/>
      <c r="I176" s="69"/>
      <c r="J176" s="68">
        <f t="shared" si="28"/>
        <v>0</v>
      </c>
      <c r="K176" s="69"/>
      <c r="L176" s="69"/>
      <c r="M176" s="69"/>
      <c r="N176" s="69"/>
      <c r="O176" s="69"/>
      <c r="P176" s="88">
        <f t="shared" si="32"/>
        <v>0</v>
      </c>
    </row>
    <row r="177" spans="1:21" s="11" customFormat="1" hidden="1" x14ac:dyDescent="0.2">
      <c r="A177" s="50" t="s">
        <v>269</v>
      </c>
      <c r="B177" s="123" t="s">
        <v>47</v>
      </c>
      <c r="C177" s="33" t="s">
        <v>1</v>
      </c>
      <c r="D177" s="129" t="s">
        <v>457</v>
      </c>
      <c r="E177" s="68">
        <f>F177+I177</f>
        <v>0</v>
      </c>
      <c r="F177" s="107"/>
      <c r="G177" s="107"/>
      <c r="H177" s="107"/>
      <c r="I177" s="107"/>
      <c r="J177" s="68">
        <f t="shared" si="28"/>
        <v>0</v>
      </c>
      <c r="K177" s="107"/>
      <c r="L177" s="107"/>
      <c r="M177" s="107"/>
      <c r="N177" s="107"/>
      <c r="O177" s="107"/>
      <c r="P177" s="88">
        <f t="shared" si="32"/>
        <v>0</v>
      </c>
    </row>
    <row r="178" spans="1:21" s="6" customFormat="1" ht="114.75" hidden="1" x14ac:dyDescent="0.2">
      <c r="A178" s="51"/>
      <c r="B178" s="43"/>
      <c r="C178" s="94"/>
      <c r="D178" s="128" t="s">
        <v>451</v>
      </c>
      <c r="E178" s="68">
        <f>F178+I178</f>
        <v>0</v>
      </c>
      <c r="F178" s="69">
        <f>F177</f>
        <v>0</v>
      </c>
      <c r="G178" s="69"/>
      <c r="H178" s="69"/>
      <c r="I178" s="69"/>
      <c r="J178" s="68">
        <f t="shared" si="28"/>
        <v>0</v>
      </c>
      <c r="K178" s="69"/>
      <c r="L178" s="69"/>
      <c r="M178" s="69"/>
      <c r="N178" s="69"/>
      <c r="O178" s="69"/>
      <c r="P178" s="88">
        <f t="shared" si="32"/>
        <v>0</v>
      </c>
    </row>
    <row r="179" spans="1:21" s="11" customFormat="1" hidden="1" x14ac:dyDescent="0.2">
      <c r="A179" s="50" t="s">
        <v>271</v>
      </c>
      <c r="B179" s="123" t="s">
        <v>48</v>
      </c>
      <c r="C179" s="33" t="s">
        <v>1</v>
      </c>
      <c r="D179" s="55" t="s">
        <v>270</v>
      </c>
      <c r="E179" s="68">
        <f t="shared" si="26"/>
        <v>0</v>
      </c>
      <c r="F179" s="107"/>
      <c r="G179" s="107"/>
      <c r="H179" s="107"/>
      <c r="I179" s="107"/>
      <c r="J179" s="68">
        <f t="shared" si="28"/>
        <v>0</v>
      </c>
      <c r="K179" s="107"/>
      <c r="L179" s="107"/>
      <c r="M179" s="107"/>
      <c r="N179" s="107"/>
      <c r="O179" s="107"/>
      <c r="P179" s="88">
        <f t="shared" si="32"/>
        <v>0</v>
      </c>
    </row>
    <row r="180" spans="1:21" s="6" customFormat="1" ht="114.75" hidden="1" x14ac:dyDescent="0.2">
      <c r="A180" s="51"/>
      <c r="B180" s="43"/>
      <c r="C180" s="94"/>
      <c r="D180" s="128" t="s">
        <v>451</v>
      </c>
      <c r="E180" s="68">
        <f t="shared" si="26"/>
        <v>0</v>
      </c>
      <c r="F180" s="69">
        <f>F179</f>
        <v>0</v>
      </c>
      <c r="G180" s="69"/>
      <c r="H180" s="69"/>
      <c r="I180" s="69"/>
      <c r="J180" s="68">
        <f t="shared" si="28"/>
        <v>0</v>
      </c>
      <c r="K180" s="69"/>
      <c r="L180" s="69"/>
      <c r="M180" s="69"/>
      <c r="N180" s="69"/>
      <c r="O180" s="69"/>
      <c r="P180" s="88">
        <f t="shared" si="32"/>
        <v>0</v>
      </c>
    </row>
    <row r="181" spans="1:21" s="13" customFormat="1" ht="20.25" hidden="1" customHeight="1" x14ac:dyDescent="0.2">
      <c r="A181" s="50" t="s">
        <v>272</v>
      </c>
      <c r="B181" s="66" t="s">
        <v>49</v>
      </c>
      <c r="C181" s="33" t="s">
        <v>1</v>
      </c>
      <c r="D181" s="55" t="s">
        <v>590</v>
      </c>
      <c r="E181" s="68">
        <f t="shared" si="26"/>
        <v>0</v>
      </c>
      <c r="F181" s="107">
        <f>F182</f>
        <v>0</v>
      </c>
      <c r="G181" s="107"/>
      <c r="H181" s="107"/>
      <c r="I181" s="107"/>
      <c r="J181" s="68">
        <f t="shared" si="28"/>
        <v>0</v>
      </c>
      <c r="K181" s="107"/>
      <c r="L181" s="107"/>
      <c r="M181" s="107"/>
      <c r="N181" s="107"/>
      <c r="O181" s="107"/>
      <c r="P181" s="88">
        <f t="shared" si="32"/>
        <v>0</v>
      </c>
      <c r="Q181" s="11"/>
      <c r="R181" s="11"/>
      <c r="S181" s="11"/>
      <c r="T181" s="11"/>
      <c r="U181" s="11"/>
    </row>
    <row r="182" spans="1:21" ht="114.75" hidden="1" x14ac:dyDescent="0.2">
      <c r="A182" s="51"/>
      <c r="B182" s="96"/>
      <c r="C182" s="94" t="s">
        <v>63</v>
      </c>
      <c r="D182" s="73" t="s">
        <v>451</v>
      </c>
      <c r="E182" s="68">
        <f t="shared" si="26"/>
        <v>0</v>
      </c>
      <c r="F182" s="69"/>
      <c r="G182" s="69"/>
      <c r="H182" s="69"/>
      <c r="I182" s="69"/>
      <c r="J182" s="68">
        <f t="shared" si="28"/>
        <v>0</v>
      </c>
      <c r="K182" s="69"/>
      <c r="L182" s="69"/>
      <c r="M182" s="69"/>
      <c r="N182" s="69"/>
      <c r="O182" s="69"/>
      <c r="P182" s="88">
        <f t="shared" si="32"/>
        <v>0</v>
      </c>
      <c r="Q182" s="6"/>
      <c r="R182" s="6"/>
      <c r="S182" s="6"/>
      <c r="T182" s="6"/>
      <c r="U182" s="6"/>
    </row>
    <row r="183" spans="1:21" ht="76.5" hidden="1" x14ac:dyDescent="0.2">
      <c r="A183" s="51" t="s">
        <v>273</v>
      </c>
      <c r="B183" s="130" t="s">
        <v>50</v>
      </c>
      <c r="C183" s="94"/>
      <c r="D183" s="73" t="s">
        <v>480</v>
      </c>
      <c r="E183" s="68">
        <f t="shared" si="26"/>
        <v>0</v>
      </c>
      <c r="F183" s="69">
        <f>F185+F187+F189+F191+F193+F195</f>
        <v>0</v>
      </c>
      <c r="G183" s="69"/>
      <c r="H183" s="69"/>
      <c r="I183" s="69"/>
      <c r="J183" s="68">
        <f t="shared" si="28"/>
        <v>0</v>
      </c>
      <c r="K183" s="69"/>
      <c r="L183" s="69"/>
      <c r="M183" s="69"/>
      <c r="N183" s="69"/>
      <c r="O183" s="69"/>
      <c r="P183" s="88">
        <f t="shared" si="32"/>
        <v>0</v>
      </c>
      <c r="Q183" s="6"/>
      <c r="R183" s="6"/>
      <c r="S183" s="6"/>
      <c r="T183" s="6"/>
      <c r="U183" s="6"/>
    </row>
    <row r="184" spans="1:21" hidden="1" x14ac:dyDescent="0.2">
      <c r="A184" s="51"/>
      <c r="B184" s="43"/>
      <c r="C184" s="94"/>
      <c r="D184" s="128"/>
      <c r="E184" s="68">
        <f t="shared" si="26"/>
        <v>0</v>
      </c>
      <c r="F184" s="69"/>
      <c r="G184" s="69"/>
      <c r="H184" s="69"/>
      <c r="I184" s="69"/>
      <c r="J184" s="68">
        <f t="shared" si="28"/>
        <v>0</v>
      </c>
      <c r="K184" s="69"/>
      <c r="L184" s="69"/>
      <c r="M184" s="69"/>
      <c r="N184" s="69"/>
      <c r="O184" s="69"/>
      <c r="P184" s="88">
        <f t="shared" si="32"/>
        <v>0</v>
      </c>
      <c r="Q184" s="6"/>
      <c r="R184" s="6"/>
      <c r="S184" s="6"/>
      <c r="T184" s="6"/>
      <c r="U184" s="6"/>
    </row>
    <row r="185" spans="1:21" s="13" customFormat="1" ht="25.5" hidden="1" x14ac:dyDescent="0.2">
      <c r="A185" s="50" t="s">
        <v>469</v>
      </c>
      <c r="B185" s="123" t="s">
        <v>464</v>
      </c>
      <c r="C185" s="33" t="s">
        <v>60</v>
      </c>
      <c r="D185" s="131" t="s">
        <v>474</v>
      </c>
      <c r="E185" s="64">
        <f>F185+J185</f>
        <v>0</v>
      </c>
      <c r="F185" s="107"/>
      <c r="G185" s="107"/>
      <c r="H185" s="107"/>
      <c r="I185" s="107"/>
      <c r="J185" s="64"/>
      <c r="K185" s="107"/>
      <c r="L185" s="107"/>
      <c r="M185" s="107"/>
      <c r="N185" s="107"/>
      <c r="O185" s="107"/>
      <c r="P185" s="88">
        <f t="shared" si="32"/>
        <v>0</v>
      </c>
      <c r="Q185" s="11"/>
      <c r="R185" s="11"/>
      <c r="S185" s="11"/>
      <c r="T185" s="11"/>
      <c r="U185" s="11"/>
    </row>
    <row r="186" spans="1:21" s="13" customFormat="1" ht="114.75" hidden="1" x14ac:dyDescent="0.2">
      <c r="A186" s="50"/>
      <c r="B186" s="123"/>
      <c r="C186" s="33"/>
      <c r="D186" s="128" t="s">
        <v>451</v>
      </c>
      <c r="E186" s="68">
        <f t="shared" ref="E186:E194" si="34">F186+J186</f>
        <v>0</v>
      </c>
      <c r="F186" s="69">
        <f>F185</f>
        <v>0</v>
      </c>
      <c r="G186" s="107"/>
      <c r="H186" s="107"/>
      <c r="I186" s="107"/>
      <c r="J186" s="64"/>
      <c r="K186" s="107"/>
      <c r="L186" s="107"/>
      <c r="M186" s="107"/>
      <c r="N186" s="107"/>
      <c r="O186" s="107"/>
      <c r="P186" s="88">
        <f t="shared" si="32"/>
        <v>0</v>
      </c>
      <c r="Q186" s="11"/>
      <c r="R186" s="11"/>
      <c r="S186" s="11"/>
      <c r="T186" s="11"/>
      <c r="U186" s="11"/>
    </row>
    <row r="187" spans="1:21" s="13" customFormat="1" ht="25.5" hidden="1" x14ac:dyDescent="0.2">
      <c r="A187" s="50" t="s">
        <v>470</v>
      </c>
      <c r="B187" s="123" t="s">
        <v>465</v>
      </c>
      <c r="C187" s="33" t="s">
        <v>60</v>
      </c>
      <c r="D187" s="131" t="s">
        <v>475</v>
      </c>
      <c r="E187" s="64">
        <f t="shared" si="34"/>
        <v>0</v>
      </c>
      <c r="F187" s="107">
        <f>F188</f>
        <v>0</v>
      </c>
      <c r="G187" s="107"/>
      <c r="H187" s="107"/>
      <c r="I187" s="107"/>
      <c r="J187" s="64"/>
      <c r="K187" s="107"/>
      <c r="L187" s="107"/>
      <c r="M187" s="107"/>
      <c r="N187" s="107"/>
      <c r="O187" s="107"/>
      <c r="P187" s="88">
        <f t="shared" si="32"/>
        <v>0</v>
      </c>
      <c r="Q187" s="11"/>
      <c r="R187" s="11"/>
      <c r="S187" s="11"/>
      <c r="T187" s="11"/>
      <c r="U187" s="11"/>
    </row>
    <row r="188" spans="1:21" s="13" customFormat="1" ht="114.75" hidden="1" x14ac:dyDescent="0.2">
      <c r="A188" s="50"/>
      <c r="B188" s="123"/>
      <c r="C188" s="33"/>
      <c r="D188" s="128" t="s">
        <v>451</v>
      </c>
      <c r="E188" s="68">
        <f t="shared" si="34"/>
        <v>0</v>
      </c>
      <c r="F188" s="69"/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2"/>
        <v>0</v>
      </c>
      <c r="Q188" s="11"/>
      <c r="R188" s="11"/>
      <c r="S188" s="11"/>
      <c r="T188" s="11"/>
      <c r="U188" s="11"/>
    </row>
    <row r="189" spans="1:21" s="13" customFormat="1" ht="25.5" hidden="1" x14ac:dyDescent="0.2">
      <c r="A189" s="50" t="s">
        <v>471</v>
      </c>
      <c r="B189" s="123" t="s">
        <v>466</v>
      </c>
      <c r="C189" s="33" t="s">
        <v>60</v>
      </c>
      <c r="D189" s="131" t="s">
        <v>476</v>
      </c>
      <c r="E189" s="64">
        <f t="shared" si="34"/>
        <v>0</v>
      </c>
      <c r="F189" s="107"/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2"/>
        <v>0</v>
      </c>
      <c r="Q189" s="11"/>
      <c r="R189" s="11"/>
      <c r="S189" s="11"/>
      <c r="T189" s="11"/>
      <c r="U189" s="11"/>
    </row>
    <row r="190" spans="1:21" s="13" customFormat="1" ht="114.75" hidden="1" x14ac:dyDescent="0.2">
      <c r="A190" s="50"/>
      <c r="B190" s="123"/>
      <c r="C190" s="33"/>
      <c r="D190" s="128" t="s">
        <v>451</v>
      </c>
      <c r="E190" s="68">
        <f t="shared" si="34"/>
        <v>0</v>
      </c>
      <c r="F190" s="69">
        <f>F189</f>
        <v>0</v>
      </c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2"/>
        <v>0</v>
      </c>
      <c r="Q190" s="11"/>
      <c r="R190" s="11"/>
      <c r="S190" s="11"/>
      <c r="T190" s="11"/>
      <c r="U190" s="11"/>
    </row>
    <row r="191" spans="1:21" s="13" customFormat="1" ht="25.5" hidden="1" x14ac:dyDescent="0.2">
      <c r="A191" s="50" t="s">
        <v>472</v>
      </c>
      <c r="B191" s="123" t="s">
        <v>467</v>
      </c>
      <c r="C191" s="33" t="s">
        <v>60</v>
      </c>
      <c r="D191" s="131" t="s">
        <v>477</v>
      </c>
      <c r="E191" s="64">
        <f t="shared" si="34"/>
        <v>0</v>
      </c>
      <c r="F191" s="107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2"/>
        <v>0</v>
      </c>
      <c r="Q191" s="11"/>
      <c r="R191" s="11"/>
      <c r="S191" s="11"/>
      <c r="T191" s="11"/>
      <c r="U191" s="11"/>
    </row>
    <row r="192" spans="1:21" s="13" customFormat="1" ht="114.75" hidden="1" x14ac:dyDescent="0.2">
      <c r="A192" s="50"/>
      <c r="B192" s="123"/>
      <c r="C192" s="33"/>
      <c r="D192" s="128" t="s">
        <v>451</v>
      </c>
      <c r="E192" s="68">
        <f t="shared" si="34"/>
        <v>0</v>
      </c>
      <c r="F192" s="69">
        <f>F191</f>
        <v>0</v>
      </c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2"/>
        <v>0</v>
      </c>
      <c r="Q192" s="11"/>
      <c r="R192" s="11"/>
      <c r="S192" s="11"/>
      <c r="T192" s="11"/>
      <c r="U192" s="11"/>
    </row>
    <row r="193" spans="1:21" s="13" customFormat="1" ht="38.25" hidden="1" x14ac:dyDescent="0.2">
      <c r="A193" s="50" t="s">
        <v>473</v>
      </c>
      <c r="B193" s="123" t="s">
        <v>468</v>
      </c>
      <c r="C193" s="33" t="s">
        <v>60</v>
      </c>
      <c r="D193" s="131" t="s">
        <v>478</v>
      </c>
      <c r="E193" s="64">
        <f t="shared" si="34"/>
        <v>0</v>
      </c>
      <c r="F193" s="107">
        <f>F194</f>
        <v>0</v>
      </c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2"/>
        <v>0</v>
      </c>
      <c r="Q193" s="11"/>
      <c r="R193" s="11"/>
      <c r="S193" s="11"/>
      <c r="T193" s="11"/>
      <c r="U193" s="11"/>
    </row>
    <row r="194" spans="1:21" s="13" customFormat="1" ht="114.75" hidden="1" x14ac:dyDescent="0.2">
      <c r="A194" s="50"/>
      <c r="B194" s="123"/>
      <c r="C194" s="33"/>
      <c r="D194" s="128" t="s">
        <v>451</v>
      </c>
      <c r="E194" s="68">
        <f t="shared" si="34"/>
        <v>0</v>
      </c>
      <c r="F194" s="69"/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2"/>
        <v>0</v>
      </c>
      <c r="Q194" s="11"/>
      <c r="R194" s="11"/>
      <c r="S194" s="11"/>
      <c r="T194" s="11"/>
      <c r="U194" s="11"/>
    </row>
    <row r="195" spans="1:21" s="13" customFormat="1" ht="89.25" hidden="1" x14ac:dyDescent="0.2">
      <c r="A195" s="50" t="s">
        <v>587</v>
      </c>
      <c r="B195" s="123" t="s">
        <v>588</v>
      </c>
      <c r="C195" s="33" t="s">
        <v>1</v>
      </c>
      <c r="D195" s="55" t="s">
        <v>591</v>
      </c>
      <c r="E195" s="68">
        <f>F195</f>
        <v>0</v>
      </c>
      <c r="F195" s="69">
        <f>F196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2"/>
        <v>0</v>
      </c>
      <c r="Q195" s="11"/>
      <c r="R195" s="11"/>
      <c r="S195" s="11"/>
      <c r="T195" s="11"/>
      <c r="U195" s="11"/>
    </row>
    <row r="196" spans="1:21" s="13" customFormat="1" ht="114.75" hidden="1" x14ac:dyDescent="0.2">
      <c r="A196" s="50"/>
      <c r="B196" s="123"/>
      <c r="C196" s="33"/>
      <c r="D196" s="73" t="s">
        <v>451</v>
      </c>
      <c r="E196" s="68">
        <f>F196</f>
        <v>0</v>
      </c>
      <c r="F196" s="69"/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2"/>
        <v>0</v>
      </c>
      <c r="Q196" s="11"/>
      <c r="R196" s="11"/>
      <c r="S196" s="11"/>
      <c r="T196" s="11"/>
      <c r="U196" s="11"/>
    </row>
    <row r="197" spans="1:21" ht="25.5" hidden="1" x14ac:dyDescent="0.2">
      <c r="A197" s="51" t="s">
        <v>285</v>
      </c>
      <c r="B197" s="132" t="s">
        <v>156</v>
      </c>
      <c r="C197" s="132" t="s">
        <v>60</v>
      </c>
      <c r="D197" s="133" t="s">
        <v>428</v>
      </c>
      <c r="E197" s="68">
        <f>F197</f>
        <v>11594800</v>
      </c>
      <c r="F197" s="69">
        <f>SUM(F200:F201)</f>
        <v>11594800</v>
      </c>
      <c r="G197" s="69">
        <f>SUM(G200:G201)</f>
        <v>8406500</v>
      </c>
      <c r="H197" s="69">
        <f>SUM(H200:H201)</f>
        <v>841200</v>
      </c>
      <c r="I197" s="69">
        <f>SUM(I200:I201)</f>
        <v>0</v>
      </c>
      <c r="J197" s="68">
        <f>L197+O197</f>
        <v>626792</v>
      </c>
      <c r="K197" s="69">
        <f>K200+K201</f>
        <v>0</v>
      </c>
      <c r="L197" s="69">
        <f>L200</f>
        <v>626792</v>
      </c>
      <c r="M197" s="69">
        <f>M200</f>
        <v>37780</v>
      </c>
      <c r="N197" s="69">
        <f>N200</f>
        <v>382800</v>
      </c>
      <c r="O197" s="69">
        <f>O200+O201</f>
        <v>0</v>
      </c>
      <c r="P197" s="88">
        <f t="shared" si="32"/>
        <v>12221592</v>
      </c>
      <c r="Q197" s="6"/>
      <c r="R197" s="6"/>
      <c r="S197" s="6"/>
      <c r="T197" s="6"/>
      <c r="U197" s="6"/>
    </row>
    <row r="198" spans="1:21" hidden="1" x14ac:dyDescent="0.2">
      <c r="A198" s="51" t="s">
        <v>600</v>
      </c>
      <c r="B198" s="132" t="s">
        <v>602</v>
      </c>
      <c r="C198" s="132" t="s">
        <v>1</v>
      </c>
      <c r="D198" s="133" t="s">
        <v>601</v>
      </c>
      <c r="E198" s="68">
        <f>F198</f>
        <v>0</v>
      </c>
      <c r="F198" s="69"/>
      <c r="G198" s="69"/>
      <c r="H198" s="69"/>
      <c r="I198" s="69"/>
      <c r="J198" s="68"/>
      <c r="K198" s="69"/>
      <c r="L198" s="69"/>
      <c r="M198" s="69"/>
      <c r="N198" s="69"/>
      <c r="O198" s="69"/>
      <c r="P198" s="88">
        <f t="shared" si="32"/>
        <v>0</v>
      </c>
      <c r="Q198" s="6"/>
      <c r="R198" s="6"/>
      <c r="S198" s="6"/>
      <c r="T198" s="6"/>
      <c r="U198" s="6"/>
    </row>
    <row r="199" spans="1:21" ht="114.75" hidden="1" x14ac:dyDescent="0.2">
      <c r="A199" s="51"/>
      <c r="B199" s="132"/>
      <c r="C199" s="132"/>
      <c r="D199" s="73" t="s">
        <v>451</v>
      </c>
      <c r="E199" s="68">
        <f>F199</f>
        <v>0</v>
      </c>
      <c r="F199" s="69">
        <f>F198</f>
        <v>0</v>
      </c>
      <c r="G199" s="69"/>
      <c r="H199" s="69"/>
      <c r="I199" s="69"/>
      <c r="J199" s="68"/>
      <c r="K199" s="69"/>
      <c r="L199" s="69"/>
      <c r="M199" s="69"/>
      <c r="N199" s="69"/>
      <c r="O199" s="69"/>
      <c r="P199" s="88">
        <f t="shared" si="32"/>
        <v>0</v>
      </c>
      <c r="Q199" s="6"/>
      <c r="R199" s="6"/>
      <c r="S199" s="6"/>
      <c r="T199" s="6"/>
      <c r="U199" s="6"/>
    </row>
    <row r="200" spans="1:21" s="13" customFormat="1" ht="27.6" customHeight="1" x14ac:dyDescent="0.2">
      <c r="A200" s="50" t="s">
        <v>286</v>
      </c>
      <c r="B200" s="39" t="s">
        <v>52</v>
      </c>
      <c r="C200" s="39" t="s">
        <v>62</v>
      </c>
      <c r="D200" s="55" t="s">
        <v>284</v>
      </c>
      <c r="E200" s="68">
        <f>F200+I200</f>
        <v>6456900</v>
      </c>
      <c r="F200" s="107">
        <f>6406900+50000</f>
        <v>6456900</v>
      </c>
      <c r="G200" s="107">
        <v>4922900</v>
      </c>
      <c r="H200" s="107">
        <v>159300</v>
      </c>
      <c r="I200" s="107"/>
      <c r="J200" s="68">
        <f>L200+O200</f>
        <v>626792</v>
      </c>
      <c r="K200" s="107"/>
      <c r="L200" s="107">
        <v>626792</v>
      </c>
      <c r="M200" s="107">
        <v>37780</v>
      </c>
      <c r="N200" s="107">
        <v>382800</v>
      </c>
      <c r="O200" s="69">
        <f>K200</f>
        <v>0</v>
      </c>
      <c r="P200" s="88">
        <f t="shared" si="32"/>
        <v>7083692</v>
      </c>
      <c r="Q200" s="11"/>
      <c r="R200" s="11"/>
      <c r="S200" s="11"/>
      <c r="T200" s="11"/>
      <c r="U200" s="11"/>
    </row>
    <row r="201" spans="1:21" s="13" customFormat="1" x14ac:dyDescent="0.2">
      <c r="A201" s="50" t="s">
        <v>287</v>
      </c>
      <c r="B201" s="39" t="s">
        <v>53</v>
      </c>
      <c r="C201" s="39" t="s">
        <v>60</v>
      </c>
      <c r="D201" s="55" t="s">
        <v>429</v>
      </c>
      <c r="E201" s="68">
        <f>F201+I201</f>
        <v>5137900</v>
      </c>
      <c r="F201" s="107">
        <v>5137900</v>
      </c>
      <c r="G201" s="107">
        <v>3483600</v>
      </c>
      <c r="H201" s="107">
        <v>681900</v>
      </c>
      <c r="I201" s="107"/>
      <c r="J201" s="68">
        <f>L201+O201</f>
        <v>0</v>
      </c>
      <c r="K201" s="107"/>
      <c r="L201" s="107"/>
      <c r="M201" s="107"/>
      <c r="N201" s="107"/>
      <c r="O201" s="69">
        <f>K201</f>
        <v>0</v>
      </c>
      <c r="P201" s="88">
        <f t="shared" si="32"/>
        <v>5137900</v>
      </c>
      <c r="Q201" s="11"/>
      <c r="R201" s="11"/>
      <c r="S201" s="11"/>
      <c r="T201" s="11"/>
      <c r="U201" s="11"/>
    </row>
    <row r="202" spans="1:21" hidden="1" x14ac:dyDescent="0.2">
      <c r="A202" s="51" t="s">
        <v>276</v>
      </c>
      <c r="B202" s="14" t="s">
        <v>275</v>
      </c>
      <c r="C202" s="14"/>
      <c r="D202" s="95" t="s">
        <v>13</v>
      </c>
      <c r="E202" s="68">
        <f t="shared" ref="E202:E218" si="35">F202+I202</f>
        <v>0</v>
      </c>
      <c r="F202" s="69"/>
      <c r="G202" s="69"/>
      <c r="H202" s="69"/>
      <c r="I202" s="69"/>
      <c r="J202" s="68">
        <f t="shared" ref="J202:J218" si="36">L202+O202</f>
        <v>0</v>
      </c>
      <c r="K202" s="69"/>
      <c r="L202" s="69"/>
      <c r="M202" s="69"/>
      <c r="N202" s="69"/>
      <c r="O202" s="69">
        <f>SUM(O203:O204)</f>
        <v>0</v>
      </c>
      <c r="P202" s="88">
        <f t="shared" si="32"/>
        <v>0</v>
      </c>
      <c r="Q202" s="6"/>
      <c r="R202" s="6"/>
      <c r="S202" s="6"/>
      <c r="T202" s="6"/>
      <c r="U202" s="6"/>
    </row>
    <row r="203" spans="1:21" s="11" customFormat="1" ht="25.5" x14ac:dyDescent="0.2">
      <c r="A203" s="50" t="s">
        <v>279</v>
      </c>
      <c r="B203" s="134" t="s">
        <v>278</v>
      </c>
      <c r="C203" s="134" t="s">
        <v>1</v>
      </c>
      <c r="D203" s="135" t="s">
        <v>277</v>
      </c>
      <c r="E203" s="68">
        <f t="shared" si="35"/>
        <v>2353100</v>
      </c>
      <c r="F203" s="107">
        <v>2353100</v>
      </c>
      <c r="G203" s="107">
        <v>1746700</v>
      </c>
      <c r="H203" s="107">
        <v>99100</v>
      </c>
      <c r="I203" s="107"/>
      <c r="J203" s="68">
        <f t="shared" si="36"/>
        <v>0</v>
      </c>
      <c r="K203" s="107"/>
      <c r="L203" s="107"/>
      <c r="M203" s="107"/>
      <c r="N203" s="107"/>
      <c r="O203" s="69">
        <f>K203</f>
        <v>0</v>
      </c>
      <c r="P203" s="88">
        <f t="shared" si="32"/>
        <v>2353100</v>
      </c>
    </row>
    <row r="204" spans="1:21" s="11" customFormat="1" hidden="1" x14ac:dyDescent="0.2">
      <c r="A204" s="50" t="s">
        <v>409</v>
      </c>
      <c r="B204" s="134" t="s">
        <v>408</v>
      </c>
      <c r="C204" s="134" t="s">
        <v>1</v>
      </c>
      <c r="D204" s="101" t="s">
        <v>410</v>
      </c>
      <c r="E204" s="68">
        <f t="shared" si="35"/>
        <v>0</v>
      </c>
      <c r="F204" s="107"/>
      <c r="G204" s="107"/>
      <c r="H204" s="107"/>
      <c r="I204" s="107"/>
      <c r="J204" s="68">
        <f t="shared" si="36"/>
        <v>0</v>
      </c>
      <c r="K204" s="107"/>
      <c r="L204" s="107"/>
      <c r="M204" s="107"/>
      <c r="N204" s="107"/>
      <c r="O204" s="107"/>
      <c r="P204" s="88">
        <f t="shared" si="32"/>
        <v>0</v>
      </c>
    </row>
    <row r="205" spans="1:21" s="6" customFormat="1" hidden="1" x14ac:dyDescent="0.2">
      <c r="A205" s="51" t="s">
        <v>280</v>
      </c>
      <c r="B205" s="132" t="s">
        <v>155</v>
      </c>
      <c r="C205" s="132"/>
      <c r="D205" s="136" t="s">
        <v>149</v>
      </c>
      <c r="E205" s="68">
        <f t="shared" si="35"/>
        <v>465000</v>
      </c>
      <c r="F205" s="69">
        <f>F206</f>
        <v>465000</v>
      </c>
      <c r="G205" s="69">
        <f>G206</f>
        <v>0</v>
      </c>
      <c r="H205" s="69">
        <f>H206</f>
        <v>0</v>
      </c>
      <c r="I205" s="69">
        <f>I206</f>
        <v>0</v>
      </c>
      <c r="J205" s="68">
        <f t="shared" si="36"/>
        <v>0</v>
      </c>
      <c r="K205" s="69">
        <f>K206</f>
        <v>0</v>
      </c>
      <c r="L205" s="69">
        <f>L206</f>
        <v>0</v>
      </c>
      <c r="M205" s="69">
        <f>M206</f>
        <v>0</v>
      </c>
      <c r="N205" s="69">
        <f>N206</f>
        <v>0</v>
      </c>
      <c r="O205" s="69">
        <f>O206</f>
        <v>0</v>
      </c>
      <c r="P205" s="88">
        <f t="shared" si="32"/>
        <v>465000</v>
      </c>
    </row>
    <row r="206" spans="1:21" s="11" customFormat="1" ht="15.75" x14ac:dyDescent="0.25">
      <c r="A206" s="50" t="s">
        <v>282</v>
      </c>
      <c r="B206" s="134" t="s">
        <v>281</v>
      </c>
      <c r="C206" s="134" t="s">
        <v>1</v>
      </c>
      <c r="D206" s="137" t="s">
        <v>142</v>
      </c>
      <c r="E206" s="64">
        <f t="shared" si="35"/>
        <v>465000</v>
      </c>
      <c r="F206" s="107">
        <v>465000</v>
      </c>
      <c r="G206" s="107"/>
      <c r="H206" s="107"/>
      <c r="I206" s="107"/>
      <c r="J206" s="64">
        <f>L206+O206</f>
        <v>0</v>
      </c>
      <c r="K206" s="107"/>
      <c r="L206" s="107"/>
      <c r="M206" s="107"/>
      <c r="N206" s="107"/>
      <c r="O206" s="107"/>
      <c r="P206" s="103">
        <f t="shared" si="32"/>
        <v>465000</v>
      </c>
    </row>
    <row r="207" spans="1:21" hidden="1" x14ac:dyDescent="0.2">
      <c r="A207" s="51">
        <v>1513500</v>
      </c>
      <c r="B207" s="14" t="s">
        <v>24</v>
      </c>
      <c r="C207" s="14" t="s">
        <v>1</v>
      </c>
      <c r="D207" s="73" t="s">
        <v>136</v>
      </c>
      <c r="E207" s="68">
        <f t="shared" si="35"/>
        <v>0</v>
      </c>
      <c r="F207" s="69"/>
      <c r="G207" s="69"/>
      <c r="H207" s="69"/>
      <c r="I207" s="69"/>
      <c r="J207" s="68">
        <f t="shared" si="36"/>
        <v>0</v>
      </c>
      <c r="K207" s="69"/>
      <c r="L207" s="69"/>
      <c r="M207" s="69"/>
      <c r="N207" s="69"/>
      <c r="O207" s="69"/>
      <c r="P207" s="88">
        <f t="shared" si="32"/>
        <v>0</v>
      </c>
      <c r="Q207" s="6"/>
      <c r="R207" s="6"/>
      <c r="S207" s="6"/>
      <c r="T207" s="6"/>
      <c r="U207" s="6"/>
    </row>
    <row r="208" spans="1:21" ht="38.25" x14ac:dyDescent="0.2">
      <c r="A208" s="51" t="s">
        <v>283</v>
      </c>
      <c r="B208" s="132" t="s">
        <v>32</v>
      </c>
      <c r="C208" s="132" t="s">
        <v>1</v>
      </c>
      <c r="D208" s="133" t="s">
        <v>91</v>
      </c>
      <c r="E208" s="68">
        <f t="shared" si="35"/>
        <v>1000000</v>
      </c>
      <c r="F208" s="69">
        <v>1000000</v>
      </c>
      <c r="G208" s="69"/>
      <c r="H208" s="69"/>
      <c r="I208" s="69"/>
      <c r="J208" s="68">
        <f t="shared" si="36"/>
        <v>0</v>
      </c>
      <c r="K208" s="69"/>
      <c r="L208" s="69"/>
      <c r="M208" s="69"/>
      <c r="N208" s="69"/>
      <c r="O208" s="69"/>
      <c r="P208" s="88">
        <f t="shared" si="32"/>
        <v>1000000</v>
      </c>
      <c r="Q208" s="6"/>
      <c r="R208" s="6"/>
      <c r="S208" s="6"/>
      <c r="T208" s="6"/>
      <c r="U208" s="6"/>
    </row>
    <row r="209" spans="1:21" s="13" customFormat="1" hidden="1" x14ac:dyDescent="0.2">
      <c r="A209" s="50"/>
      <c r="B209" s="134"/>
      <c r="C209" s="134"/>
      <c r="D209" s="127" t="s">
        <v>514</v>
      </c>
      <c r="E209" s="64"/>
      <c r="F209" s="107"/>
      <c r="G209" s="107"/>
      <c r="H209" s="107"/>
      <c r="I209" s="107"/>
      <c r="J209" s="64"/>
      <c r="K209" s="107"/>
      <c r="L209" s="107"/>
      <c r="M209" s="107"/>
      <c r="N209" s="107"/>
      <c r="O209" s="107"/>
      <c r="P209" s="88">
        <f t="shared" si="32"/>
        <v>0</v>
      </c>
      <c r="Q209" s="11"/>
      <c r="R209" s="11"/>
      <c r="S209" s="11"/>
      <c r="T209" s="11"/>
      <c r="U209" s="11"/>
    </row>
    <row r="210" spans="1:21" ht="43.5" customHeight="1" x14ac:dyDescent="0.2">
      <c r="A210" s="51" t="s">
        <v>288</v>
      </c>
      <c r="B210" s="14" t="s">
        <v>51</v>
      </c>
      <c r="C210" s="14" t="s">
        <v>60</v>
      </c>
      <c r="D210" s="73" t="s">
        <v>430</v>
      </c>
      <c r="E210" s="68">
        <f t="shared" si="35"/>
        <v>1640000</v>
      </c>
      <c r="F210" s="69">
        <v>1640000</v>
      </c>
      <c r="G210" s="69"/>
      <c r="H210" s="69">
        <f t="shared" ref="H210:O210" si="37">SUM(H211)</f>
        <v>0</v>
      </c>
      <c r="I210" s="69">
        <f t="shared" si="37"/>
        <v>0</v>
      </c>
      <c r="J210" s="68">
        <f t="shared" si="36"/>
        <v>0</v>
      </c>
      <c r="K210" s="69">
        <f>SUM(K211)</f>
        <v>0</v>
      </c>
      <c r="L210" s="69">
        <f t="shared" si="37"/>
        <v>0</v>
      </c>
      <c r="M210" s="69">
        <f t="shared" si="37"/>
        <v>0</v>
      </c>
      <c r="N210" s="69">
        <f t="shared" si="37"/>
        <v>0</v>
      </c>
      <c r="O210" s="69">
        <f t="shared" si="37"/>
        <v>0</v>
      </c>
      <c r="P210" s="88">
        <f t="shared" si="32"/>
        <v>1640000</v>
      </c>
      <c r="Q210" s="6"/>
      <c r="R210" s="6"/>
      <c r="S210" s="6"/>
      <c r="T210" s="6"/>
      <c r="U210" s="6"/>
    </row>
    <row r="211" spans="1:21" s="13" customFormat="1" ht="25.5" hidden="1" customHeight="1" x14ac:dyDescent="0.2">
      <c r="A211" s="50" t="s">
        <v>431</v>
      </c>
      <c r="B211" s="39" t="s">
        <v>289</v>
      </c>
      <c r="C211" s="39" t="s">
        <v>60</v>
      </c>
      <c r="D211" s="55" t="s">
        <v>284</v>
      </c>
      <c r="E211" s="68">
        <f t="shared" si="35"/>
        <v>0</v>
      </c>
      <c r="F211" s="107"/>
      <c r="G211" s="107"/>
      <c r="H211" s="107"/>
      <c r="I211" s="107"/>
      <c r="J211" s="68">
        <f t="shared" si="36"/>
        <v>0</v>
      </c>
      <c r="K211" s="107"/>
      <c r="L211" s="107"/>
      <c r="M211" s="107"/>
      <c r="N211" s="107"/>
      <c r="O211" s="107"/>
      <c r="P211" s="88">
        <f t="shared" si="32"/>
        <v>0</v>
      </c>
      <c r="Q211" s="11"/>
      <c r="R211" s="11"/>
      <c r="S211" s="11"/>
      <c r="T211" s="11"/>
      <c r="U211" s="11"/>
    </row>
    <row r="212" spans="1:21" s="6" customFormat="1" hidden="1" x14ac:dyDescent="0.2">
      <c r="A212" s="51" t="s">
        <v>432</v>
      </c>
      <c r="B212" s="14" t="s">
        <v>433</v>
      </c>
      <c r="C212" s="14"/>
      <c r="D212" s="73" t="s">
        <v>17</v>
      </c>
      <c r="E212" s="68">
        <f>E213</f>
        <v>600000</v>
      </c>
      <c r="F212" s="68"/>
      <c r="G212" s="68"/>
      <c r="H212" s="68">
        <f t="shared" ref="H212:O212" si="38">H213</f>
        <v>0</v>
      </c>
      <c r="I212" s="68">
        <f t="shared" si="38"/>
        <v>0</v>
      </c>
      <c r="J212" s="68">
        <f t="shared" si="38"/>
        <v>0</v>
      </c>
      <c r="K212" s="68">
        <f>K213</f>
        <v>0</v>
      </c>
      <c r="L212" s="68">
        <f t="shared" si="38"/>
        <v>0</v>
      </c>
      <c r="M212" s="68">
        <f t="shared" si="38"/>
        <v>0</v>
      </c>
      <c r="N212" s="68">
        <f t="shared" si="38"/>
        <v>0</v>
      </c>
      <c r="O212" s="68">
        <f t="shared" si="38"/>
        <v>0</v>
      </c>
      <c r="P212" s="88">
        <f t="shared" si="32"/>
        <v>600000</v>
      </c>
    </row>
    <row r="213" spans="1:21" s="13" customFormat="1" ht="25.5" x14ac:dyDescent="0.2">
      <c r="A213" s="50" t="s">
        <v>434</v>
      </c>
      <c r="B213" s="39" t="s">
        <v>435</v>
      </c>
      <c r="C213" s="39" t="s">
        <v>124</v>
      </c>
      <c r="D213" s="138" t="s">
        <v>458</v>
      </c>
      <c r="E213" s="68">
        <f>F213+I213</f>
        <v>600000</v>
      </c>
      <c r="F213" s="107">
        <v>600000</v>
      </c>
      <c r="G213" s="107"/>
      <c r="H213" s="107"/>
      <c r="I213" s="107"/>
      <c r="J213" s="68">
        <f>L213+O213</f>
        <v>0</v>
      </c>
      <c r="K213" s="107"/>
      <c r="L213" s="107"/>
      <c r="M213" s="107"/>
      <c r="N213" s="107"/>
      <c r="O213" s="107">
        <f>K213</f>
        <v>0</v>
      </c>
      <c r="P213" s="88">
        <f t="shared" si="32"/>
        <v>600000</v>
      </c>
      <c r="Q213" s="11"/>
      <c r="R213" s="11"/>
      <c r="S213" s="11"/>
      <c r="T213" s="11"/>
      <c r="U213" s="11"/>
    </row>
    <row r="214" spans="1:21" x14ac:dyDescent="0.2">
      <c r="A214" s="51" t="s">
        <v>436</v>
      </c>
      <c r="B214" s="94" t="s">
        <v>437</v>
      </c>
      <c r="C214" s="94" t="s">
        <v>15</v>
      </c>
      <c r="D214" s="76" t="s">
        <v>16</v>
      </c>
      <c r="E214" s="68">
        <f t="shared" si="35"/>
        <v>500000</v>
      </c>
      <c r="F214" s="69">
        <v>500000</v>
      </c>
      <c r="G214" s="69">
        <v>116000</v>
      </c>
      <c r="H214" s="69"/>
      <c r="I214" s="69"/>
      <c r="J214" s="68">
        <f t="shared" si="36"/>
        <v>0</v>
      </c>
      <c r="K214" s="69"/>
      <c r="L214" s="69"/>
      <c r="M214" s="69"/>
      <c r="N214" s="69"/>
      <c r="O214" s="69"/>
      <c r="P214" s="88">
        <f t="shared" si="32"/>
        <v>500000</v>
      </c>
      <c r="Q214" s="6"/>
      <c r="R214" s="6"/>
      <c r="S214" s="6"/>
      <c r="T214" s="6"/>
      <c r="U214" s="6"/>
    </row>
    <row r="215" spans="1:21" hidden="1" x14ac:dyDescent="0.2">
      <c r="A215" s="51">
        <v>1518600</v>
      </c>
      <c r="B215" s="96" t="s">
        <v>29</v>
      </c>
      <c r="C215" s="14" t="s">
        <v>135</v>
      </c>
      <c r="D215" s="37" t="s">
        <v>136</v>
      </c>
      <c r="E215" s="68">
        <f t="shared" si="35"/>
        <v>0</v>
      </c>
      <c r="F215" s="69"/>
      <c r="G215" s="69"/>
      <c r="H215" s="69"/>
      <c r="I215" s="69"/>
      <c r="J215" s="68">
        <f t="shared" si="36"/>
        <v>0</v>
      </c>
      <c r="K215" s="69"/>
      <c r="L215" s="69"/>
      <c r="M215" s="69"/>
      <c r="N215" s="69"/>
      <c r="O215" s="69"/>
      <c r="P215" s="88">
        <f t="shared" si="32"/>
        <v>0</v>
      </c>
      <c r="Q215" s="6"/>
      <c r="R215" s="6"/>
      <c r="S215" s="6"/>
      <c r="T215" s="6"/>
      <c r="U215" s="6"/>
    </row>
    <row r="216" spans="1:21" ht="25.5" hidden="1" x14ac:dyDescent="0.2">
      <c r="A216" s="51" t="s">
        <v>552</v>
      </c>
      <c r="B216" s="96" t="s">
        <v>553</v>
      </c>
      <c r="C216" s="14"/>
      <c r="D216" s="37" t="s">
        <v>556</v>
      </c>
      <c r="E216" s="68">
        <f t="shared" si="35"/>
        <v>0</v>
      </c>
      <c r="F216" s="69"/>
      <c r="G216" s="69"/>
      <c r="H216" s="69"/>
      <c r="I216" s="69"/>
      <c r="J216" s="68">
        <f t="shared" si="36"/>
        <v>0</v>
      </c>
      <c r="K216" s="69">
        <f>K217</f>
        <v>0</v>
      </c>
      <c r="L216" s="69"/>
      <c r="M216" s="69"/>
      <c r="N216" s="69"/>
      <c r="O216" s="69">
        <f>K216</f>
        <v>0</v>
      </c>
      <c r="P216" s="88">
        <f t="shared" si="32"/>
        <v>0</v>
      </c>
      <c r="Q216" s="6"/>
      <c r="R216" s="6"/>
      <c r="S216" s="6"/>
      <c r="T216" s="6"/>
      <c r="U216" s="6"/>
    </row>
    <row r="217" spans="1:21" s="13" customFormat="1" ht="102" hidden="1" x14ac:dyDescent="0.2">
      <c r="A217" s="50" t="s">
        <v>554</v>
      </c>
      <c r="B217" s="66" t="s">
        <v>555</v>
      </c>
      <c r="C217" s="39" t="s">
        <v>57</v>
      </c>
      <c r="D217" s="138" t="s">
        <v>557</v>
      </c>
      <c r="E217" s="64">
        <f t="shared" si="35"/>
        <v>0</v>
      </c>
      <c r="F217" s="107"/>
      <c r="G217" s="107"/>
      <c r="H217" s="107"/>
      <c r="I217" s="107"/>
      <c r="J217" s="64">
        <f t="shared" si="36"/>
        <v>0</v>
      </c>
      <c r="K217" s="107">
        <f>K218</f>
        <v>0</v>
      </c>
      <c r="L217" s="107"/>
      <c r="M217" s="107"/>
      <c r="N217" s="107"/>
      <c r="O217" s="69">
        <f>K217</f>
        <v>0</v>
      </c>
      <c r="P217" s="88">
        <f t="shared" si="32"/>
        <v>0</v>
      </c>
      <c r="Q217" s="11"/>
      <c r="R217" s="11"/>
      <c r="S217" s="11"/>
      <c r="T217" s="11"/>
      <c r="U217" s="11"/>
    </row>
    <row r="218" spans="1:21" s="13" customFormat="1" ht="117" hidden="1" customHeight="1" x14ac:dyDescent="0.2">
      <c r="A218" s="50"/>
      <c r="B218" s="66"/>
      <c r="C218" s="39"/>
      <c r="D218" s="138" t="s">
        <v>558</v>
      </c>
      <c r="E218" s="64">
        <f t="shared" si="35"/>
        <v>0</v>
      </c>
      <c r="F218" s="107"/>
      <c r="G218" s="107"/>
      <c r="H218" s="107"/>
      <c r="I218" s="107"/>
      <c r="J218" s="64">
        <f t="shared" si="36"/>
        <v>0</v>
      </c>
      <c r="K218" s="107"/>
      <c r="L218" s="107"/>
      <c r="M218" s="107"/>
      <c r="N218" s="107"/>
      <c r="O218" s="69">
        <f>K218</f>
        <v>0</v>
      </c>
      <c r="P218" s="88">
        <f t="shared" si="32"/>
        <v>0</v>
      </c>
      <c r="Q218" s="11"/>
      <c r="R218" s="11"/>
      <c r="S218" s="11"/>
      <c r="T218" s="11"/>
      <c r="U218" s="11"/>
    </row>
    <row r="219" spans="1:21" s="28" customFormat="1" ht="89.25" hidden="1" x14ac:dyDescent="0.2">
      <c r="A219" s="52" t="s">
        <v>479</v>
      </c>
      <c r="B219" s="139" t="s">
        <v>463</v>
      </c>
      <c r="C219" s="132" t="s">
        <v>1</v>
      </c>
      <c r="D219" s="37" t="s">
        <v>589</v>
      </c>
      <c r="E219" s="68">
        <f>F219+I219</f>
        <v>0</v>
      </c>
      <c r="F219" s="69"/>
      <c r="G219" s="69"/>
      <c r="H219" s="69"/>
      <c r="I219" s="69"/>
      <c r="J219" s="68"/>
      <c r="K219" s="69"/>
      <c r="L219" s="69"/>
      <c r="M219" s="69"/>
      <c r="N219" s="69"/>
      <c r="O219" s="69"/>
      <c r="P219" s="88">
        <f t="shared" si="32"/>
        <v>0</v>
      </c>
    </row>
    <row r="220" spans="1:21" s="28" customFormat="1" ht="105.6" hidden="1" customHeight="1" x14ac:dyDescent="0.2">
      <c r="A220" s="52"/>
      <c r="B220" s="43"/>
      <c r="C220" s="94"/>
      <c r="D220" s="73" t="s">
        <v>592</v>
      </c>
      <c r="E220" s="68">
        <f>F220+I220</f>
        <v>0</v>
      </c>
      <c r="F220" s="69">
        <f>F219</f>
        <v>0</v>
      </c>
      <c r="G220" s="69"/>
      <c r="H220" s="69"/>
      <c r="I220" s="69"/>
      <c r="J220" s="68"/>
      <c r="K220" s="69"/>
      <c r="L220" s="69"/>
      <c r="M220" s="69"/>
      <c r="N220" s="69"/>
      <c r="O220" s="69"/>
      <c r="P220" s="88">
        <f t="shared" si="32"/>
        <v>0</v>
      </c>
    </row>
    <row r="221" spans="1:21" s="6" customFormat="1" hidden="1" x14ac:dyDescent="0.2">
      <c r="A221" s="51" t="s">
        <v>441</v>
      </c>
      <c r="B221" s="14" t="s">
        <v>440</v>
      </c>
      <c r="C221" s="14"/>
      <c r="D221" s="140" t="s">
        <v>274</v>
      </c>
      <c r="E221" s="68">
        <f>F221+I221</f>
        <v>5711500</v>
      </c>
      <c r="F221" s="69">
        <f>F222</f>
        <v>5711500</v>
      </c>
      <c r="G221" s="69"/>
      <c r="H221" s="69"/>
      <c r="I221" s="69"/>
      <c r="J221" s="68">
        <f>L221+O221</f>
        <v>362000</v>
      </c>
      <c r="K221" s="69">
        <f>K222</f>
        <v>362000</v>
      </c>
      <c r="L221" s="69"/>
      <c r="M221" s="69"/>
      <c r="N221" s="69"/>
      <c r="O221" s="69">
        <f>K221</f>
        <v>362000</v>
      </c>
      <c r="P221" s="88">
        <f t="shared" si="32"/>
        <v>6073500</v>
      </c>
    </row>
    <row r="222" spans="1:21" s="11" customFormat="1" x14ac:dyDescent="0.2">
      <c r="A222" s="50" t="s">
        <v>442</v>
      </c>
      <c r="B222" s="39" t="s">
        <v>439</v>
      </c>
      <c r="C222" s="39" t="s">
        <v>123</v>
      </c>
      <c r="D222" s="141" t="s">
        <v>438</v>
      </c>
      <c r="E222" s="64">
        <f>F222+I222</f>
        <v>5711500</v>
      </c>
      <c r="F222" s="107">
        <f>3911000+250000+48000+10000+10000+10000+1472500</f>
        <v>5711500</v>
      </c>
      <c r="G222" s="107"/>
      <c r="H222" s="107"/>
      <c r="I222" s="107"/>
      <c r="J222" s="64">
        <f>L222+O222</f>
        <v>362000</v>
      </c>
      <c r="K222" s="107">
        <v>362000</v>
      </c>
      <c r="L222" s="107"/>
      <c r="M222" s="107"/>
      <c r="N222" s="107"/>
      <c r="O222" s="107">
        <f>K222</f>
        <v>362000</v>
      </c>
      <c r="P222" s="103">
        <f t="shared" si="32"/>
        <v>6073500</v>
      </c>
    </row>
    <row r="223" spans="1:21" s="11" customFormat="1" x14ac:dyDescent="0.2">
      <c r="A223" s="50"/>
      <c r="B223" s="39"/>
      <c r="C223" s="39"/>
      <c r="D223" s="141" t="s">
        <v>514</v>
      </c>
      <c r="E223" s="64">
        <f>F223+I223</f>
        <v>328000</v>
      </c>
      <c r="F223" s="107">
        <f>298000+10000+10000+10000</f>
        <v>328000</v>
      </c>
      <c r="G223" s="107"/>
      <c r="H223" s="107"/>
      <c r="I223" s="107"/>
      <c r="J223" s="64"/>
      <c r="K223" s="107"/>
      <c r="L223" s="107"/>
      <c r="M223" s="107"/>
      <c r="N223" s="107"/>
      <c r="O223" s="107"/>
      <c r="P223" s="103">
        <f t="shared" si="32"/>
        <v>328000</v>
      </c>
    </row>
    <row r="224" spans="1:21" s="28" customFormat="1" hidden="1" x14ac:dyDescent="0.2">
      <c r="A224" s="52" t="s">
        <v>490</v>
      </c>
      <c r="B224" s="14" t="s">
        <v>189</v>
      </c>
      <c r="C224" s="14"/>
      <c r="D224" s="44" t="s">
        <v>191</v>
      </c>
      <c r="E224" s="68">
        <f>E225</f>
        <v>70000</v>
      </c>
      <c r="F224" s="68"/>
      <c r="G224" s="68">
        <f t="shared" ref="G224:O224" si="39">G225</f>
        <v>0</v>
      </c>
      <c r="H224" s="68">
        <f t="shared" si="39"/>
        <v>0</v>
      </c>
      <c r="I224" s="68">
        <f t="shared" si="39"/>
        <v>0</v>
      </c>
      <c r="J224" s="68">
        <f t="shared" si="39"/>
        <v>0</v>
      </c>
      <c r="K224" s="68">
        <f>K225</f>
        <v>0</v>
      </c>
      <c r="L224" s="68">
        <f t="shared" si="39"/>
        <v>0</v>
      </c>
      <c r="M224" s="68">
        <f t="shared" si="39"/>
        <v>0</v>
      </c>
      <c r="N224" s="68">
        <f t="shared" si="39"/>
        <v>0</v>
      </c>
      <c r="O224" s="68">
        <f t="shared" si="39"/>
        <v>0</v>
      </c>
      <c r="P224" s="88">
        <f t="shared" si="32"/>
        <v>70000</v>
      </c>
    </row>
    <row r="225" spans="1:21" s="11" customFormat="1" x14ac:dyDescent="0.2">
      <c r="A225" s="50" t="s">
        <v>491</v>
      </c>
      <c r="B225" s="39" t="s">
        <v>193</v>
      </c>
      <c r="C225" s="39" t="s">
        <v>128</v>
      </c>
      <c r="D225" s="40" t="s">
        <v>194</v>
      </c>
      <c r="E225" s="64">
        <f>F225+I225</f>
        <v>70000</v>
      </c>
      <c r="F225" s="107">
        <v>70000</v>
      </c>
      <c r="G225" s="107"/>
      <c r="H225" s="107"/>
      <c r="I225" s="107"/>
      <c r="J225" s="64">
        <f>L225+O225</f>
        <v>0</v>
      </c>
      <c r="K225" s="107"/>
      <c r="L225" s="107"/>
      <c r="M225" s="107"/>
      <c r="N225" s="107"/>
      <c r="O225" s="107"/>
      <c r="P225" s="103">
        <f t="shared" si="32"/>
        <v>70000</v>
      </c>
    </row>
    <row r="226" spans="1:21" x14ac:dyDescent="0.2">
      <c r="A226" s="53" t="s">
        <v>177</v>
      </c>
      <c r="B226" s="80"/>
      <c r="C226" s="81"/>
      <c r="D226" s="82" t="s">
        <v>65</v>
      </c>
      <c r="E226" s="100">
        <f>E227</f>
        <v>3357800</v>
      </c>
      <c r="F226" s="100">
        <f t="shared" ref="F226:O226" si="40">F227</f>
        <v>3357800</v>
      </c>
      <c r="G226" s="100">
        <f t="shared" si="40"/>
        <v>2534800</v>
      </c>
      <c r="H226" s="100">
        <f t="shared" si="40"/>
        <v>44800</v>
      </c>
      <c r="I226" s="100">
        <f t="shared" si="40"/>
        <v>0</v>
      </c>
      <c r="J226" s="100">
        <f t="shared" si="40"/>
        <v>0</v>
      </c>
      <c r="K226" s="100">
        <f>K227</f>
        <v>0</v>
      </c>
      <c r="L226" s="100">
        <f t="shared" si="40"/>
        <v>0</v>
      </c>
      <c r="M226" s="100">
        <f t="shared" si="40"/>
        <v>0</v>
      </c>
      <c r="N226" s="100">
        <f t="shared" si="40"/>
        <v>0</v>
      </c>
      <c r="O226" s="100">
        <f t="shared" si="40"/>
        <v>0</v>
      </c>
      <c r="P226" s="88">
        <f t="shared" si="32"/>
        <v>3357800</v>
      </c>
      <c r="Q226" s="6"/>
      <c r="R226" s="190"/>
      <c r="S226" s="6"/>
      <c r="T226" s="6"/>
      <c r="U226" s="6"/>
    </row>
    <row r="227" spans="1:21" x14ac:dyDescent="0.2">
      <c r="A227" s="51" t="s">
        <v>290</v>
      </c>
      <c r="B227" s="96"/>
      <c r="C227" s="81"/>
      <c r="D227" s="85" t="s">
        <v>65</v>
      </c>
      <c r="E227" s="100">
        <f>E228+E230+E229</f>
        <v>3357800</v>
      </c>
      <c r="F227" s="100">
        <f>F228+F230+F229+F231</f>
        <v>3357800</v>
      </c>
      <c r="G227" s="100">
        <f t="shared" ref="G227:O227" si="41">G228+G230+G229</f>
        <v>2534800</v>
      </c>
      <c r="H227" s="100">
        <f t="shared" si="41"/>
        <v>44800</v>
      </c>
      <c r="I227" s="100">
        <f t="shared" si="41"/>
        <v>0</v>
      </c>
      <c r="J227" s="100">
        <f t="shared" si="41"/>
        <v>0</v>
      </c>
      <c r="K227" s="100">
        <f>K228+K230+K229</f>
        <v>0</v>
      </c>
      <c r="L227" s="100">
        <f t="shared" si="41"/>
        <v>0</v>
      </c>
      <c r="M227" s="100">
        <f t="shared" si="41"/>
        <v>0</v>
      </c>
      <c r="N227" s="100">
        <f t="shared" si="41"/>
        <v>0</v>
      </c>
      <c r="O227" s="100">
        <f t="shared" si="41"/>
        <v>0</v>
      </c>
      <c r="P227" s="100">
        <f>P228+P230+P229</f>
        <v>3357800</v>
      </c>
      <c r="Q227" s="6"/>
      <c r="R227" s="6"/>
      <c r="S227" s="6"/>
      <c r="T227" s="6"/>
      <c r="U227" s="6"/>
    </row>
    <row r="228" spans="1:21" s="6" customFormat="1" ht="25.5" x14ac:dyDescent="0.2">
      <c r="A228" s="51" t="s">
        <v>291</v>
      </c>
      <c r="B228" s="36" t="s">
        <v>197</v>
      </c>
      <c r="C228" s="36" t="s">
        <v>122</v>
      </c>
      <c r="D228" s="99" t="s">
        <v>196</v>
      </c>
      <c r="E228" s="68">
        <f>F228+I228</f>
        <v>3251800</v>
      </c>
      <c r="F228" s="69">
        <f>2862600+389200</f>
        <v>3251800</v>
      </c>
      <c r="G228" s="69">
        <f>2215800+319000</f>
        <v>2534800</v>
      </c>
      <c r="H228" s="69">
        <v>44800</v>
      </c>
      <c r="I228" s="69"/>
      <c r="J228" s="68">
        <f>L228+O228</f>
        <v>0</v>
      </c>
      <c r="K228" s="69"/>
      <c r="L228" s="69"/>
      <c r="M228" s="69"/>
      <c r="N228" s="69"/>
      <c r="O228" s="69">
        <f>K228</f>
        <v>0</v>
      </c>
      <c r="P228" s="88">
        <f t="shared" ref="P228:P244" si="42">E228+J228</f>
        <v>3251800</v>
      </c>
    </row>
    <row r="229" spans="1:21" s="6" customFormat="1" ht="38.25" hidden="1" x14ac:dyDescent="0.2">
      <c r="A229" s="51" t="s">
        <v>496</v>
      </c>
      <c r="B229" s="36" t="s">
        <v>57</v>
      </c>
      <c r="C229" s="36" t="s">
        <v>138</v>
      </c>
      <c r="D229" s="99" t="s">
        <v>495</v>
      </c>
      <c r="E229" s="68">
        <f>F229+I229</f>
        <v>0</v>
      </c>
      <c r="F229" s="69"/>
      <c r="G229" s="69"/>
      <c r="H229" s="69"/>
      <c r="I229" s="69"/>
      <c r="J229" s="68">
        <f>L229+O229</f>
        <v>0</v>
      </c>
      <c r="K229" s="69"/>
      <c r="L229" s="69"/>
      <c r="M229" s="69"/>
      <c r="N229" s="69"/>
      <c r="O229" s="69">
        <f>K229</f>
        <v>0</v>
      </c>
      <c r="P229" s="88">
        <f t="shared" si="42"/>
        <v>0</v>
      </c>
    </row>
    <row r="230" spans="1:21" s="6" customFormat="1" ht="15.75" hidden="1" x14ac:dyDescent="0.25">
      <c r="A230" s="51" t="s">
        <v>292</v>
      </c>
      <c r="B230" s="96" t="s">
        <v>170</v>
      </c>
      <c r="C230" s="36"/>
      <c r="D230" s="18" t="s">
        <v>168</v>
      </c>
      <c r="E230" s="68">
        <f>E231</f>
        <v>106000</v>
      </c>
      <c r="F230" s="68"/>
      <c r="G230" s="68"/>
      <c r="H230" s="68"/>
      <c r="I230" s="68">
        <f t="shared" ref="I230:O230" si="43">I231</f>
        <v>0</v>
      </c>
      <c r="J230" s="68">
        <f t="shared" si="43"/>
        <v>0</v>
      </c>
      <c r="K230" s="68">
        <f>K231</f>
        <v>0</v>
      </c>
      <c r="L230" s="68">
        <f t="shared" si="43"/>
        <v>0</v>
      </c>
      <c r="M230" s="68">
        <f t="shared" si="43"/>
        <v>0</v>
      </c>
      <c r="N230" s="68">
        <f t="shared" si="43"/>
        <v>0</v>
      </c>
      <c r="O230" s="68">
        <f t="shared" si="43"/>
        <v>0</v>
      </c>
      <c r="P230" s="88">
        <f t="shared" si="42"/>
        <v>106000</v>
      </c>
    </row>
    <row r="231" spans="1:21" s="11" customFormat="1" ht="15.75" x14ac:dyDescent="0.25">
      <c r="A231" s="50" t="s">
        <v>293</v>
      </c>
      <c r="B231" s="66" t="s">
        <v>171</v>
      </c>
      <c r="C231" s="29" t="s">
        <v>1</v>
      </c>
      <c r="D231" s="19" t="s">
        <v>169</v>
      </c>
      <c r="E231" s="64">
        <f>F231</f>
        <v>106000</v>
      </c>
      <c r="F231" s="107">
        <v>106000</v>
      </c>
      <c r="G231" s="107"/>
      <c r="H231" s="107"/>
      <c r="I231" s="107"/>
      <c r="J231" s="64"/>
      <c r="K231" s="107"/>
      <c r="L231" s="107"/>
      <c r="M231" s="107"/>
      <c r="N231" s="107"/>
      <c r="O231" s="107"/>
      <c r="P231" s="88">
        <f t="shared" si="42"/>
        <v>106000</v>
      </c>
    </row>
    <row r="232" spans="1:21" s="6" customFormat="1" x14ac:dyDescent="0.2">
      <c r="A232" s="53">
        <v>1000000</v>
      </c>
      <c r="B232" s="41"/>
      <c r="C232" s="42"/>
      <c r="D232" s="142" t="s">
        <v>66</v>
      </c>
      <c r="E232" s="143">
        <f>E234</f>
        <v>42801100</v>
      </c>
      <c r="F232" s="143">
        <f t="shared" ref="F232:O232" si="44">F234</f>
        <v>42801100</v>
      </c>
      <c r="G232" s="143">
        <f t="shared" si="44"/>
        <v>27984800</v>
      </c>
      <c r="H232" s="143">
        <f t="shared" si="44"/>
        <v>4209700</v>
      </c>
      <c r="I232" s="143">
        <f t="shared" si="44"/>
        <v>0</v>
      </c>
      <c r="J232" s="143">
        <f t="shared" si="44"/>
        <v>3975000</v>
      </c>
      <c r="K232" s="143">
        <f>K234</f>
        <v>1455000</v>
      </c>
      <c r="L232" s="143">
        <f t="shared" si="44"/>
        <v>2477000</v>
      </c>
      <c r="M232" s="143">
        <f t="shared" si="44"/>
        <v>1130100</v>
      </c>
      <c r="N232" s="143">
        <f t="shared" si="44"/>
        <v>0</v>
      </c>
      <c r="O232" s="143">
        <f t="shared" si="44"/>
        <v>1498000</v>
      </c>
      <c r="P232" s="88">
        <f t="shared" si="42"/>
        <v>46776100</v>
      </c>
      <c r="R232" s="190"/>
    </row>
    <row r="233" spans="1:21" s="6" customFormat="1" hidden="1" x14ac:dyDescent="0.2">
      <c r="A233" s="53"/>
      <c r="B233" s="41"/>
      <c r="C233" s="42"/>
      <c r="D233" s="54" t="s">
        <v>514</v>
      </c>
      <c r="E233" s="143"/>
      <c r="F233" s="143"/>
      <c r="G233" s="143"/>
      <c r="H233" s="143"/>
      <c r="I233" s="143"/>
      <c r="J233" s="107">
        <f>J237</f>
        <v>0</v>
      </c>
      <c r="K233" s="107">
        <f t="shared" ref="K233:P233" si="45">K237</f>
        <v>0</v>
      </c>
      <c r="L233" s="107">
        <f t="shared" si="45"/>
        <v>0</v>
      </c>
      <c r="M233" s="107">
        <f t="shared" si="45"/>
        <v>0</v>
      </c>
      <c r="N233" s="107">
        <f t="shared" si="45"/>
        <v>0</v>
      </c>
      <c r="O233" s="107">
        <f t="shared" si="45"/>
        <v>0</v>
      </c>
      <c r="P233" s="185">
        <f t="shared" si="45"/>
        <v>0</v>
      </c>
    </row>
    <row r="234" spans="1:21" s="6" customFormat="1" x14ac:dyDescent="0.2">
      <c r="A234" s="51" t="s">
        <v>294</v>
      </c>
      <c r="B234" s="43"/>
      <c r="C234" s="42"/>
      <c r="D234" s="135" t="s">
        <v>111</v>
      </c>
      <c r="E234" s="143">
        <f>E235+E236+E238+E240+E241+E243+E244</f>
        <v>42801100</v>
      </c>
      <c r="F234" s="143">
        <f>F235+F236+F238+F240+F241+F243+F244</f>
        <v>42801100</v>
      </c>
      <c r="G234" s="143">
        <f>G235+G236+G238+G240+G241+G243+G244</f>
        <v>27984800</v>
      </c>
      <c r="H234" s="143">
        <f>H235+H236+H238+H240+H241+H243+H244</f>
        <v>4209700</v>
      </c>
      <c r="I234" s="143">
        <f>SUM(I235:I242)</f>
        <v>0</v>
      </c>
      <c r="J234" s="143">
        <f t="shared" ref="J234:O234" si="46">J235+J236+J238+J240+J241+J243+J244</f>
        <v>3975000</v>
      </c>
      <c r="K234" s="143">
        <f t="shared" si="46"/>
        <v>1455000</v>
      </c>
      <c r="L234" s="143">
        <f t="shared" si="46"/>
        <v>2477000</v>
      </c>
      <c r="M234" s="143">
        <f t="shared" si="46"/>
        <v>1130100</v>
      </c>
      <c r="N234" s="143">
        <f t="shared" si="46"/>
        <v>0</v>
      </c>
      <c r="O234" s="143">
        <f t="shared" si="46"/>
        <v>1498000</v>
      </c>
      <c r="P234" s="88">
        <f t="shared" si="42"/>
        <v>46776100</v>
      </c>
    </row>
    <row r="235" spans="1:21" s="6" customFormat="1" ht="25.5" x14ac:dyDescent="0.2">
      <c r="A235" s="51" t="s">
        <v>295</v>
      </c>
      <c r="B235" s="36" t="s">
        <v>197</v>
      </c>
      <c r="C235" s="36" t="s">
        <v>122</v>
      </c>
      <c r="D235" s="99" t="s">
        <v>196</v>
      </c>
      <c r="E235" s="68">
        <f t="shared" ref="E235:E244" si="47">F235+I235</f>
        <v>1310000</v>
      </c>
      <c r="F235" s="69">
        <f>1569000-259000</f>
        <v>1310000</v>
      </c>
      <c r="G235" s="69">
        <f>1196000-212300</f>
        <v>983700</v>
      </c>
      <c r="H235" s="69"/>
      <c r="I235" s="69"/>
      <c r="J235" s="68">
        <f t="shared" ref="J235:J244" si="48">L235+O235</f>
        <v>27000</v>
      </c>
      <c r="K235" s="69">
        <v>27000</v>
      </c>
      <c r="L235" s="69"/>
      <c r="M235" s="69"/>
      <c r="N235" s="69"/>
      <c r="O235" s="69">
        <f t="shared" ref="O235:O244" si="49">K235</f>
        <v>27000</v>
      </c>
      <c r="P235" s="88">
        <f t="shared" si="42"/>
        <v>1337000</v>
      </c>
    </row>
    <row r="236" spans="1:21" x14ac:dyDescent="0.2">
      <c r="A236" s="51" t="s">
        <v>306</v>
      </c>
      <c r="B236" s="94" t="s">
        <v>305</v>
      </c>
      <c r="C236" s="94" t="s">
        <v>140</v>
      </c>
      <c r="D236" s="73" t="s">
        <v>635</v>
      </c>
      <c r="E236" s="68">
        <f>F236+I236</f>
        <v>18721100</v>
      </c>
      <c r="F236" s="69">
        <v>18721100</v>
      </c>
      <c r="G236" s="69">
        <v>14147300</v>
      </c>
      <c r="H236" s="69">
        <v>1053800</v>
      </c>
      <c r="I236" s="69"/>
      <c r="J236" s="68">
        <f>L236+O236</f>
        <v>1735900</v>
      </c>
      <c r="K236" s="69">
        <v>15900</v>
      </c>
      <c r="L236" s="69">
        <v>1720000</v>
      </c>
      <c r="M236" s="69">
        <v>975500</v>
      </c>
      <c r="N236" s="69"/>
      <c r="O236" s="69">
        <f t="shared" si="49"/>
        <v>15900</v>
      </c>
      <c r="P236" s="88">
        <f t="shared" si="42"/>
        <v>20457000</v>
      </c>
      <c r="Q236" s="6"/>
      <c r="R236" s="6"/>
      <c r="S236" s="6"/>
      <c r="T236" s="6"/>
      <c r="U236" s="6"/>
    </row>
    <row r="237" spans="1:21" s="13" customFormat="1" hidden="1" x14ac:dyDescent="0.2">
      <c r="A237" s="50"/>
      <c r="B237" s="33"/>
      <c r="C237" s="33"/>
      <c r="D237" s="54" t="s">
        <v>514</v>
      </c>
      <c r="E237" s="64"/>
      <c r="F237" s="107"/>
      <c r="G237" s="107"/>
      <c r="H237" s="107"/>
      <c r="I237" s="107"/>
      <c r="J237" s="64">
        <f>L237+O237</f>
        <v>0</v>
      </c>
      <c r="K237" s="107"/>
      <c r="L237" s="107"/>
      <c r="M237" s="107"/>
      <c r="N237" s="107"/>
      <c r="O237" s="107">
        <f>K237</f>
        <v>0</v>
      </c>
      <c r="P237" s="103">
        <f>E237+J237</f>
        <v>0</v>
      </c>
      <c r="Q237" s="11"/>
      <c r="R237" s="11"/>
      <c r="S237" s="11"/>
      <c r="T237" s="11"/>
      <c r="U237" s="11"/>
    </row>
    <row r="238" spans="1:21" x14ac:dyDescent="0.2">
      <c r="A238" s="51" t="s">
        <v>298</v>
      </c>
      <c r="B238" s="94" t="s">
        <v>297</v>
      </c>
      <c r="C238" s="94" t="s">
        <v>67</v>
      </c>
      <c r="D238" s="73" t="s">
        <v>296</v>
      </c>
      <c r="E238" s="68">
        <f t="shared" si="47"/>
        <v>5407800</v>
      </c>
      <c r="F238" s="69">
        <v>5407800</v>
      </c>
      <c r="G238" s="69">
        <v>3874200</v>
      </c>
      <c r="H238" s="69">
        <v>524700</v>
      </c>
      <c r="I238" s="69"/>
      <c r="J238" s="68">
        <f t="shared" si="48"/>
        <v>155000</v>
      </c>
      <c r="K238" s="69">
        <v>100000</v>
      </c>
      <c r="L238" s="69">
        <v>12000</v>
      </c>
      <c r="M238" s="69"/>
      <c r="N238" s="69"/>
      <c r="O238" s="107">
        <f>K238+43000</f>
        <v>143000</v>
      </c>
      <c r="P238" s="88">
        <f t="shared" si="42"/>
        <v>5562800</v>
      </c>
      <c r="Q238" s="6"/>
      <c r="R238" s="6"/>
      <c r="S238" s="6"/>
      <c r="T238" s="6"/>
      <c r="U238" s="6"/>
    </row>
    <row r="239" spans="1:21" hidden="1" x14ac:dyDescent="0.2">
      <c r="A239" s="51"/>
      <c r="B239" s="94"/>
      <c r="C239" s="94"/>
      <c r="E239" s="68"/>
      <c r="F239" s="69"/>
      <c r="G239" s="69"/>
      <c r="H239" s="69"/>
      <c r="I239" s="69"/>
      <c r="J239" s="68"/>
      <c r="K239" s="69"/>
      <c r="L239" s="69"/>
      <c r="M239" s="69"/>
      <c r="N239" s="69"/>
      <c r="O239" s="69"/>
      <c r="P239" s="88"/>
      <c r="Q239" s="6"/>
      <c r="R239" s="6"/>
      <c r="S239" s="6"/>
      <c r="T239" s="6"/>
      <c r="U239" s="6"/>
    </row>
    <row r="240" spans="1:21" x14ac:dyDescent="0.2">
      <c r="A240" s="51" t="s">
        <v>301</v>
      </c>
      <c r="B240" s="14" t="s">
        <v>300</v>
      </c>
      <c r="C240" s="14" t="s">
        <v>67</v>
      </c>
      <c r="D240" s="77" t="s">
        <v>299</v>
      </c>
      <c r="E240" s="68">
        <f>F240+I240</f>
        <v>3251900</v>
      </c>
      <c r="F240" s="69">
        <v>3251900</v>
      </c>
      <c r="G240" s="69">
        <v>2243000</v>
      </c>
      <c r="H240" s="69">
        <v>413500</v>
      </c>
      <c r="I240" s="69"/>
      <c r="J240" s="68">
        <f t="shared" si="48"/>
        <v>101600</v>
      </c>
      <c r="K240" s="69">
        <v>61600</v>
      </c>
      <c r="L240" s="69">
        <v>40000</v>
      </c>
      <c r="M240" s="69">
        <v>4600</v>
      </c>
      <c r="N240" s="69"/>
      <c r="O240" s="69">
        <f t="shared" si="49"/>
        <v>61600</v>
      </c>
      <c r="P240" s="88">
        <f t="shared" si="42"/>
        <v>3353500</v>
      </c>
      <c r="Q240" s="6"/>
      <c r="R240" s="6"/>
      <c r="S240" s="6"/>
      <c r="T240" s="6"/>
      <c r="U240" s="6"/>
    </row>
    <row r="241" spans="1:21" ht="25.5" x14ac:dyDescent="0.2">
      <c r="A241" s="51" t="s">
        <v>303</v>
      </c>
      <c r="B241" s="94" t="s">
        <v>54</v>
      </c>
      <c r="C241" s="94" t="s">
        <v>68</v>
      </c>
      <c r="D241" s="97" t="s">
        <v>302</v>
      </c>
      <c r="E241" s="68">
        <f t="shared" si="47"/>
        <v>8436800</v>
      </c>
      <c r="F241" s="69">
        <v>8436800</v>
      </c>
      <c r="G241" s="69">
        <v>4944900</v>
      </c>
      <c r="H241" s="69">
        <v>2217700</v>
      </c>
      <c r="I241" s="69"/>
      <c r="J241" s="68">
        <f t="shared" si="48"/>
        <v>1905000</v>
      </c>
      <c r="K241" s="69">
        <v>1200000</v>
      </c>
      <c r="L241" s="69">
        <v>705000</v>
      </c>
      <c r="M241" s="69">
        <v>150000</v>
      </c>
      <c r="N241" s="69"/>
      <c r="O241" s="69">
        <f t="shared" si="49"/>
        <v>1200000</v>
      </c>
      <c r="P241" s="88">
        <f t="shared" si="42"/>
        <v>10341800</v>
      </c>
      <c r="Q241" s="6"/>
      <c r="R241" s="6"/>
      <c r="S241" s="6"/>
      <c r="T241" s="6"/>
      <c r="U241" s="6"/>
    </row>
    <row r="242" spans="1:21" hidden="1" x14ac:dyDescent="0.2">
      <c r="A242" s="51" t="s">
        <v>309</v>
      </c>
      <c r="B242" s="94" t="s">
        <v>308</v>
      </c>
      <c r="C242" s="94"/>
      <c r="D242" s="73" t="s">
        <v>307</v>
      </c>
      <c r="E242" s="68">
        <f t="shared" si="47"/>
        <v>0</v>
      </c>
      <c r="F242" s="69"/>
      <c r="G242" s="69"/>
      <c r="H242" s="69"/>
      <c r="I242" s="69">
        <f>I243+I244</f>
        <v>0</v>
      </c>
      <c r="J242" s="68">
        <f t="shared" si="48"/>
        <v>0</v>
      </c>
      <c r="K242" s="69"/>
      <c r="L242" s="69"/>
      <c r="M242" s="69"/>
      <c r="N242" s="69"/>
      <c r="O242" s="69">
        <f t="shared" si="49"/>
        <v>0</v>
      </c>
      <c r="P242" s="88">
        <f t="shared" si="42"/>
        <v>0</v>
      </c>
      <c r="Q242" s="6"/>
      <c r="R242" s="6"/>
      <c r="S242" s="6"/>
      <c r="T242" s="6"/>
      <c r="U242" s="6"/>
    </row>
    <row r="243" spans="1:21" s="27" customFormat="1" x14ac:dyDescent="0.2">
      <c r="A243" s="52" t="s">
        <v>445</v>
      </c>
      <c r="B243" s="94" t="s">
        <v>443</v>
      </c>
      <c r="C243" s="94" t="s">
        <v>69</v>
      </c>
      <c r="D243" s="73" t="s">
        <v>447</v>
      </c>
      <c r="E243" s="68">
        <f t="shared" si="47"/>
        <v>2323500</v>
      </c>
      <c r="F243" s="69">
        <v>2323500</v>
      </c>
      <c r="G243" s="69">
        <v>1791700</v>
      </c>
      <c r="H243" s="69"/>
      <c r="I243" s="69"/>
      <c r="J243" s="68">
        <f t="shared" si="48"/>
        <v>50500</v>
      </c>
      <c r="K243" s="69">
        <v>50500</v>
      </c>
      <c r="L243" s="69"/>
      <c r="M243" s="69"/>
      <c r="N243" s="69"/>
      <c r="O243" s="69">
        <f t="shared" si="49"/>
        <v>50500</v>
      </c>
      <c r="P243" s="88">
        <f t="shared" si="42"/>
        <v>2374000</v>
      </c>
      <c r="Q243" s="28"/>
      <c r="R243" s="28"/>
      <c r="S243" s="28"/>
      <c r="T243" s="28"/>
      <c r="U243" s="28"/>
    </row>
    <row r="244" spans="1:21" s="27" customFormat="1" x14ac:dyDescent="0.2">
      <c r="A244" s="52" t="s">
        <v>446</v>
      </c>
      <c r="B244" s="94" t="s">
        <v>444</v>
      </c>
      <c r="C244" s="94" t="s">
        <v>69</v>
      </c>
      <c r="D244" s="73" t="s">
        <v>448</v>
      </c>
      <c r="E244" s="68">
        <f t="shared" si="47"/>
        <v>3350000</v>
      </c>
      <c r="F244" s="69">
        <v>3350000</v>
      </c>
      <c r="G244" s="69"/>
      <c r="H244" s="69"/>
      <c r="I244" s="69"/>
      <c r="J244" s="68">
        <f t="shared" si="48"/>
        <v>0</v>
      </c>
      <c r="K244" s="69"/>
      <c r="L244" s="69"/>
      <c r="M244" s="69"/>
      <c r="N244" s="69"/>
      <c r="O244" s="69">
        <f t="shared" si="49"/>
        <v>0</v>
      </c>
      <c r="P244" s="88">
        <f t="shared" si="42"/>
        <v>3350000</v>
      </c>
      <c r="Q244" s="28"/>
      <c r="R244" s="28"/>
      <c r="S244" s="28"/>
      <c r="T244" s="28"/>
      <c r="U244" s="28"/>
    </row>
    <row r="245" spans="1:21" s="27" customFormat="1" ht="16.149999999999999" customHeight="1" x14ac:dyDescent="0.2">
      <c r="A245" s="53">
        <v>1100000</v>
      </c>
      <c r="B245" s="80"/>
      <c r="C245" s="144"/>
      <c r="D245" s="82" t="s">
        <v>0</v>
      </c>
      <c r="E245" s="100">
        <f>E246</f>
        <v>21216000</v>
      </c>
      <c r="F245" s="100">
        <f>F246</f>
        <v>21216000</v>
      </c>
      <c r="G245" s="100">
        <f>G246</f>
        <v>12409500</v>
      </c>
      <c r="H245" s="100">
        <f>H246</f>
        <v>1996600</v>
      </c>
      <c r="I245" s="100">
        <f>I246</f>
        <v>0</v>
      </c>
      <c r="J245" s="100">
        <f t="shared" ref="J245:P245" si="50">J246</f>
        <v>1063300</v>
      </c>
      <c r="K245" s="100">
        <f>K246</f>
        <v>268000</v>
      </c>
      <c r="L245" s="100">
        <f t="shared" si="50"/>
        <v>795300</v>
      </c>
      <c r="M245" s="100">
        <f t="shared" si="50"/>
        <v>50400</v>
      </c>
      <c r="N245" s="100">
        <f t="shared" si="50"/>
        <v>116300</v>
      </c>
      <c r="O245" s="100">
        <f t="shared" si="50"/>
        <v>268000</v>
      </c>
      <c r="P245" s="100">
        <f t="shared" si="50"/>
        <v>22279300</v>
      </c>
      <c r="Q245" s="28"/>
      <c r="R245" s="190"/>
      <c r="S245" s="28"/>
      <c r="T245" s="28"/>
      <c r="U245" s="28"/>
    </row>
    <row r="246" spans="1:21" s="27" customFormat="1" ht="18.75" customHeight="1" x14ac:dyDescent="0.2">
      <c r="A246" s="52">
        <v>1110000</v>
      </c>
      <c r="B246" s="96"/>
      <c r="C246" s="144"/>
      <c r="D246" s="85" t="s">
        <v>0</v>
      </c>
      <c r="E246" s="100">
        <f>E247+E249+E251+E252+E254+E256+E259+E261+E262</f>
        <v>21216000</v>
      </c>
      <c r="F246" s="100">
        <f>F247+F249+F251+F252+F254+F256+F259+F261+F262</f>
        <v>21216000</v>
      </c>
      <c r="G246" s="100">
        <f>G247+G249+G251+G252+G254+G256+G259+G261+G262</f>
        <v>12409500</v>
      </c>
      <c r="H246" s="100">
        <f>H247+H249+H251+H252+H254+H256+H259+H261+H262</f>
        <v>1996600</v>
      </c>
      <c r="I246" s="100">
        <f>I247+I249+I251+I252+I254+I256+I259+I261+I262</f>
        <v>0</v>
      </c>
      <c r="J246" s="100">
        <f t="shared" ref="J246:O246" si="51">J247+J248+J250+J255+J258+J253+J260+J259</f>
        <v>1063300</v>
      </c>
      <c r="K246" s="100">
        <f t="shared" si="51"/>
        <v>268000</v>
      </c>
      <c r="L246" s="100">
        <f t="shared" si="51"/>
        <v>795300</v>
      </c>
      <c r="M246" s="100">
        <f t="shared" si="51"/>
        <v>50400</v>
      </c>
      <c r="N246" s="100">
        <f t="shared" si="51"/>
        <v>116300</v>
      </c>
      <c r="O246" s="100">
        <f t="shared" si="51"/>
        <v>268000</v>
      </c>
      <c r="P246" s="100">
        <f>P247+P249+P251+P252+P254+P256+P259+P261+P262</f>
        <v>22279300</v>
      </c>
      <c r="Q246" s="28"/>
      <c r="R246" s="28"/>
      <c r="S246" s="28"/>
      <c r="T246" s="28"/>
      <c r="U246" s="28"/>
    </row>
    <row r="247" spans="1:21" s="28" customFormat="1" ht="25.5" x14ac:dyDescent="0.2">
      <c r="A247" s="52" t="s">
        <v>310</v>
      </c>
      <c r="B247" s="36" t="s">
        <v>197</v>
      </c>
      <c r="C247" s="145" t="s">
        <v>122</v>
      </c>
      <c r="D247" s="99" t="s">
        <v>196</v>
      </c>
      <c r="E247" s="68">
        <f t="shared" ref="E247:E262" si="52">F247+I247</f>
        <v>2863700</v>
      </c>
      <c r="F247" s="69">
        <f>2433300+430400</f>
        <v>2863700</v>
      </c>
      <c r="G247" s="69">
        <f>1907600+352800</f>
        <v>2260400</v>
      </c>
      <c r="H247" s="69"/>
      <c r="I247" s="69"/>
      <c r="J247" s="68">
        <f>L247+O247</f>
        <v>0</v>
      </c>
      <c r="K247" s="69"/>
      <c r="L247" s="69"/>
      <c r="M247" s="69"/>
      <c r="N247" s="69"/>
      <c r="O247" s="69">
        <f t="shared" ref="O247:O259" si="53">K247</f>
        <v>0</v>
      </c>
      <c r="P247" s="88">
        <f t="shared" ref="P247:P264" si="54">E247+J247</f>
        <v>2863700</v>
      </c>
    </row>
    <row r="248" spans="1:21" s="28" customFormat="1" hidden="1" x14ac:dyDescent="0.2">
      <c r="A248" s="52" t="s">
        <v>311</v>
      </c>
      <c r="B248" s="132" t="s">
        <v>155</v>
      </c>
      <c r="C248" s="146"/>
      <c r="D248" s="136" t="s">
        <v>149</v>
      </c>
      <c r="E248" s="68">
        <f t="shared" si="52"/>
        <v>0</v>
      </c>
      <c r="F248" s="69"/>
      <c r="G248" s="69"/>
      <c r="H248" s="69"/>
      <c r="I248" s="69"/>
      <c r="J248" s="68">
        <f t="shared" ref="J248:J262" si="55">L248+O248</f>
        <v>0</v>
      </c>
      <c r="K248" s="69"/>
      <c r="L248" s="69"/>
      <c r="M248" s="69"/>
      <c r="N248" s="69"/>
      <c r="O248" s="69">
        <f t="shared" si="53"/>
        <v>0</v>
      </c>
      <c r="P248" s="88">
        <f t="shared" si="54"/>
        <v>0</v>
      </c>
    </row>
    <row r="249" spans="1:21" s="11" customFormat="1" ht="15.75" customHeight="1" x14ac:dyDescent="0.2">
      <c r="A249" s="50" t="s">
        <v>312</v>
      </c>
      <c r="B249" s="134" t="s">
        <v>281</v>
      </c>
      <c r="C249" s="147" t="s">
        <v>1</v>
      </c>
      <c r="D249" s="179" t="s">
        <v>142</v>
      </c>
      <c r="E249" s="64">
        <f t="shared" si="52"/>
        <v>650000</v>
      </c>
      <c r="F249" s="107">
        <v>650000</v>
      </c>
      <c r="G249" s="107"/>
      <c r="H249" s="107"/>
      <c r="I249" s="107"/>
      <c r="J249" s="68">
        <f t="shared" si="55"/>
        <v>0</v>
      </c>
      <c r="K249" s="107"/>
      <c r="L249" s="107"/>
      <c r="M249" s="107"/>
      <c r="N249" s="107"/>
      <c r="O249" s="69">
        <f t="shared" si="53"/>
        <v>0</v>
      </c>
      <c r="P249" s="103">
        <f t="shared" si="54"/>
        <v>650000</v>
      </c>
    </row>
    <row r="250" spans="1:21" s="28" customFormat="1" ht="15.75" hidden="1" customHeight="1" x14ac:dyDescent="0.2">
      <c r="A250" s="52">
        <v>1115010</v>
      </c>
      <c r="B250" s="132" t="s">
        <v>150</v>
      </c>
      <c r="C250" s="146"/>
      <c r="D250" s="133" t="s">
        <v>18</v>
      </c>
      <c r="E250" s="68">
        <f t="shared" si="52"/>
        <v>0</v>
      </c>
      <c r="F250" s="69"/>
      <c r="G250" s="69"/>
      <c r="H250" s="69"/>
      <c r="I250" s="69">
        <f>SUM(I251:I252)</f>
        <v>0</v>
      </c>
      <c r="J250" s="68">
        <f t="shared" si="55"/>
        <v>0</v>
      </c>
      <c r="K250" s="69">
        <f>SUM(K251:K252)</f>
        <v>0</v>
      </c>
      <c r="L250" s="69">
        <f>SUM(L251:L252)</f>
        <v>0</v>
      </c>
      <c r="M250" s="69">
        <f>SUM(M251:M252)</f>
        <v>0</v>
      </c>
      <c r="N250" s="69">
        <f>SUM(N251:N252)</f>
        <v>0</v>
      </c>
      <c r="O250" s="69">
        <f t="shared" si="53"/>
        <v>0</v>
      </c>
      <c r="P250" s="88">
        <f t="shared" si="54"/>
        <v>0</v>
      </c>
    </row>
    <row r="251" spans="1:21" s="11" customFormat="1" ht="15.75" customHeight="1" x14ac:dyDescent="0.2">
      <c r="A251" s="50">
        <v>1115011</v>
      </c>
      <c r="B251" s="134" t="s">
        <v>33</v>
      </c>
      <c r="C251" s="147" t="s">
        <v>2</v>
      </c>
      <c r="D251" s="37" t="s">
        <v>92</v>
      </c>
      <c r="E251" s="64">
        <f t="shared" si="52"/>
        <v>1649000</v>
      </c>
      <c r="F251" s="107">
        <v>1649000</v>
      </c>
      <c r="G251" s="107"/>
      <c r="H251" s="107"/>
      <c r="I251" s="107"/>
      <c r="J251" s="68">
        <f t="shared" si="55"/>
        <v>0</v>
      </c>
      <c r="K251" s="107"/>
      <c r="L251" s="107"/>
      <c r="M251" s="107"/>
      <c r="N251" s="107"/>
      <c r="O251" s="69">
        <f t="shared" si="53"/>
        <v>0</v>
      </c>
      <c r="P251" s="88">
        <f t="shared" si="54"/>
        <v>1649000</v>
      </c>
    </row>
    <row r="252" spans="1:21" s="11" customFormat="1" ht="25.5" customHeight="1" x14ac:dyDescent="0.2">
      <c r="A252" s="50">
        <v>1115012</v>
      </c>
      <c r="B252" s="134" t="s">
        <v>12</v>
      </c>
      <c r="C252" s="147" t="s">
        <v>2</v>
      </c>
      <c r="D252" s="136" t="s">
        <v>11</v>
      </c>
      <c r="E252" s="64">
        <f t="shared" si="52"/>
        <v>1092000</v>
      </c>
      <c r="F252" s="107">
        <v>1092000</v>
      </c>
      <c r="G252" s="107"/>
      <c r="H252" s="107"/>
      <c r="I252" s="107"/>
      <c r="J252" s="68">
        <f t="shared" si="55"/>
        <v>0</v>
      </c>
      <c r="K252" s="107"/>
      <c r="L252" s="107"/>
      <c r="M252" s="107"/>
      <c r="N252" s="107"/>
      <c r="O252" s="69">
        <f t="shared" si="53"/>
        <v>0</v>
      </c>
      <c r="P252" s="88">
        <f t="shared" si="54"/>
        <v>1092000</v>
      </c>
    </row>
    <row r="253" spans="1:21" s="28" customFormat="1" ht="15.75" hidden="1" customHeight="1" x14ac:dyDescent="0.2">
      <c r="A253" s="52" t="s">
        <v>404</v>
      </c>
      <c r="B253" s="132" t="s">
        <v>405</v>
      </c>
      <c r="C253" s="146"/>
      <c r="D253" s="136" t="s">
        <v>459</v>
      </c>
      <c r="E253" s="68">
        <f t="shared" si="52"/>
        <v>0</v>
      </c>
      <c r="F253" s="69"/>
      <c r="G253" s="69"/>
      <c r="H253" s="69"/>
      <c r="I253" s="69">
        <f>I254</f>
        <v>0</v>
      </c>
      <c r="J253" s="68">
        <f t="shared" si="55"/>
        <v>0</v>
      </c>
      <c r="K253" s="69">
        <f>K254</f>
        <v>0</v>
      </c>
      <c r="L253" s="69">
        <f>L254</f>
        <v>0</v>
      </c>
      <c r="M253" s="69">
        <f>M254</f>
        <v>0</v>
      </c>
      <c r="N253" s="69">
        <f>N254</f>
        <v>0</v>
      </c>
      <c r="O253" s="69">
        <f t="shared" si="53"/>
        <v>0</v>
      </c>
      <c r="P253" s="88">
        <f t="shared" si="54"/>
        <v>0</v>
      </c>
    </row>
    <row r="254" spans="1:21" s="11" customFormat="1" ht="26.25" customHeight="1" x14ac:dyDescent="0.2">
      <c r="A254" s="50" t="s">
        <v>407</v>
      </c>
      <c r="B254" s="134" t="s">
        <v>406</v>
      </c>
      <c r="C254" s="147" t="s">
        <v>2</v>
      </c>
      <c r="D254" s="136" t="s">
        <v>460</v>
      </c>
      <c r="E254" s="64">
        <f t="shared" si="52"/>
        <v>24000</v>
      </c>
      <c r="F254" s="107">
        <v>24000</v>
      </c>
      <c r="G254" s="107"/>
      <c r="H254" s="107"/>
      <c r="I254" s="107"/>
      <c r="J254" s="68">
        <f t="shared" si="55"/>
        <v>0</v>
      </c>
      <c r="K254" s="107"/>
      <c r="L254" s="107"/>
      <c r="M254" s="107"/>
      <c r="N254" s="107"/>
      <c r="O254" s="69">
        <f t="shared" si="53"/>
        <v>0</v>
      </c>
      <c r="P254" s="88">
        <f t="shared" si="54"/>
        <v>24000</v>
      </c>
    </row>
    <row r="255" spans="1:21" s="28" customFormat="1" hidden="1" x14ac:dyDescent="0.2">
      <c r="A255" s="52">
        <v>1115030</v>
      </c>
      <c r="B255" s="132" t="s">
        <v>151</v>
      </c>
      <c r="C255" s="146"/>
      <c r="D255" s="37" t="s">
        <v>143</v>
      </c>
      <c r="E255" s="68">
        <f t="shared" si="52"/>
        <v>0</v>
      </c>
      <c r="F255" s="69"/>
      <c r="G255" s="69"/>
      <c r="H255" s="69"/>
      <c r="I255" s="69">
        <f t="shared" ref="I255:N255" si="56">SUM(I256)</f>
        <v>0</v>
      </c>
      <c r="J255" s="68">
        <f t="shared" si="55"/>
        <v>763300</v>
      </c>
      <c r="K255" s="69">
        <f>SUM(K256)</f>
        <v>18000</v>
      </c>
      <c r="L255" s="69">
        <f t="shared" si="56"/>
        <v>745300</v>
      </c>
      <c r="M255" s="69">
        <f t="shared" si="56"/>
        <v>40700</v>
      </c>
      <c r="N255" s="69">
        <f t="shared" si="56"/>
        <v>99300</v>
      </c>
      <c r="O255" s="69">
        <f t="shared" si="53"/>
        <v>18000</v>
      </c>
      <c r="P255" s="88">
        <f t="shared" si="54"/>
        <v>763300</v>
      </c>
    </row>
    <row r="256" spans="1:21" s="11" customFormat="1" ht="25.5" x14ac:dyDescent="0.2">
      <c r="A256" s="50">
        <v>1115031</v>
      </c>
      <c r="B256" s="134" t="s">
        <v>144</v>
      </c>
      <c r="C256" s="147" t="s">
        <v>2</v>
      </c>
      <c r="D256" s="37" t="s">
        <v>93</v>
      </c>
      <c r="E256" s="68">
        <f t="shared" si="52"/>
        <v>11536200</v>
      </c>
      <c r="F256" s="107">
        <v>11536200</v>
      </c>
      <c r="G256" s="107">
        <v>8252500</v>
      </c>
      <c r="H256" s="107">
        <v>1437400</v>
      </c>
      <c r="I256" s="107"/>
      <c r="J256" s="68">
        <f t="shared" si="55"/>
        <v>763300</v>
      </c>
      <c r="K256" s="69">
        <v>18000</v>
      </c>
      <c r="L256" s="69">
        <v>745300</v>
      </c>
      <c r="M256" s="69">
        <v>40700</v>
      </c>
      <c r="N256" s="69">
        <v>99300</v>
      </c>
      <c r="O256" s="69">
        <f t="shared" si="53"/>
        <v>18000</v>
      </c>
      <c r="P256" s="88">
        <f t="shared" si="54"/>
        <v>12299500</v>
      </c>
    </row>
    <row r="257" spans="1:21" s="11" customFormat="1" ht="18" customHeight="1" x14ac:dyDescent="0.2">
      <c r="A257" s="50"/>
      <c r="B257" s="134"/>
      <c r="C257" s="147"/>
      <c r="D257" s="54" t="s">
        <v>514</v>
      </c>
      <c r="E257" s="68"/>
      <c r="F257" s="107"/>
      <c r="G257" s="107"/>
      <c r="H257" s="107"/>
      <c r="I257" s="107"/>
      <c r="J257" s="64">
        <f>L257+O257</f>
        <v>18000</v>
      </c>
      <c r="K257" s="107">
        <v>18000</v>
      </c>
      <c r="L257" s="107"/>
      <c r="M257" s="107"/>
      <c r="N257" s="107"/>
      <c r="O257" s="107">
        <f>K257</f>
        <v>18000</v>
      </c>
      <c r="P257" s="88">
        <f t="shared" si="54"/>
        <v>18000</v>
      </c>
    </row>
    <row r="258" spans="1:21" s="28" customFormat="1" ht="18.75" hidden="1" customHeight="1" x14ac:dyDescent="0.2">
      <c r="A258" s="52">
        <v>1115040</v>
      </c>
      <c r="B258" s="132" t="s">
        <v>145</v>
      </c>
      <c r="C258" s="146"/>
      <c r="D258" s="37" t="s">
        <v>146</v>
      </c>
      <c r="E258" s="68">
        <f>E259</f>
        <v>2660300</v>
      </c>
      <c r="F258" s="68"/>
      <c r="G258" s="68"/>
      <c r="H258" s="68"/>
      <c r="I258" s="68">
        <f>I259</f>
        <v>0</v>
      </c>
      <c r="J258" s="68">
        <f t="shared" si="55"/>
        <v>0</v>
      </c>
      <c r="K258" s="68"/>
      <c r="L258" s="68"/>
      <c r="M258" s="68"/>
      <c r="N258" s="68"/>
      <c r="O258" s="69">
        <f t="shared" si="53"/>
        <v>0</v>
      </c>
      <c r="P258" s="88">
        <f t="shared" si="54"/>
        <v>2660300</v>
      </c>
    </row>
    <row r="259" spans="1:21" s="11" customFormat="1" ht="17.25" customHeight="1" x14ac:dyDescent="0.2">
      <c r="A259" s="50">
        <v>1115041</v>
      </c>
      <c r="B259" s="134" t="s">
        <v>147</v>
      </c>
      <c r="C259" s="147" t="s">
        <v>2</v>
      </c>
      <c r="D259" s="37" t="s">
        <v>313</v>
      </c>
      <c r="E259" s="68">
        <f t="shared" si="52"/>
        <v>2660300</v>
      </c>
      <c r="F259" s="107">
        <f>2280500+379800</f>
        <v>2660300</v>
      </c>
      <c r="G259" s="107">
        <v>1313600</v>
      </c>
      <c r="H259" s="107">
        <v>559200</v>
      </c>
      <c r="I259" s="107"/>
      <c r="J259" s="68">
        <f t="shared" si="55"/>
        <v>300000</v>
      </c>
      <c r="K259" s="69">
        <v>250000</v>
      </c>
      <c r="L259" s="69">
        <v>50000</v>
      </c>
      <c r="M259" s="69">
        <v>9700</v>
      </c>
      <c r="N259" s="69">
        <v>17000</v>
      </c>
      <c r="O259" s="69">
        <f t="shared" si="53"/>
        <v>250000</v>
      </c>
      <c r="P259" s="88">
        <f t="shared" si="54"/>
        <v>2960300</v>
      </c>
    </row>
    <row r="260" spans="1:21" s="28" customFormat="1" ht="12.75" hidden="1" customHeight="1" x14ac:dyDescent="0.2">
      <c r="A260" s="52" t="s">
        <v>482</v>
      </c>
      <c r="B260" s="132" t="s">
        <v>484</v>
      </c>
      <c r="C260" s="146"/>
      <c r="D260" s="37" t="s">
        <v>483</v>
      </c>
      <c r="E260" s="68">
        <f>E261+E262</f>
        <v>740800</v>
      </c>
      <c r="F260" s="68"/>
      <c r="G260" s="68"/>
      <c r="H260" s="68"/>
      <c r="I260" s="68">
        <f t="shared" ref="I260:O260" si="57">I261+I262</f>
        <v>0</v>
      </c>
      <c r="J260" s="68">
        <f t="shared" si="57"/>
        <v>0</v>
      </c>
      <c r="K260" s="68">
        <f>K261+K262</f>
        <v>0</v>
      </c>
      <c r="L260" s="68">
        <f t="shared" si="57"/>
        <v>0</v>
      </c>
      <c r="M260" s="68">
        <f t="shared" si="57"/>
        <v>0</v>
      </c>
      <c r="N260" s="68">
        <f t="shared" si="57"/>
        <v>0</v>
      </c>
      <c r="O260" s="68">
        <f t="shared" si="57"/>
        <v>0</v>
      </c>
      <c r="P260" s="88">
        <f t="shared" si="54"/>
        <v>740800</v>
      </c>
    </row>
    <row r="261" spans="1:21" s="11" customFormat="1" ht="27" hidden="1" customHeight="1" x14ac:dyDescent="0.2">
      <c r="A261" s="50" t="s">
        <v>486</v>
      </c>
      <c r="B261" s="134" t="s">
        <v>487</v>
      </c>
      <c r="C261" s="147" t="s">
        <v>2</v>
      </c>
      <c r="D261" s="37" t="s">
        <v>485</v>
      </c>
      <c r="E261" s="68">
        <f t="shared" si="52"/>
        <v>0</v>
      </c>
      <c r="F261" s="107"/>
      <c r="G261" s="107"/>
      <c r="H261" s="107"/>
      <c r="I261" s="107"/>
      <c r="J261" s="68">
        <f t="shared" si="55"/>
        <v>0</v>
      </c>
      <c r="K261" s="107"/>
      <c r="L261" s="107"/>
      <c r="M261" s="107"/>
      <c r="N261" s="107"/>
      <c r="O261" s="69">
        <f>K261</f>
        <v>0</v>
      </c>
      <c r="P261" s="103">
        <f t="shared" si="54"/>
        <v>0</v>
      </c>
    </row>
    <row r="262" spans="1:21" s="11" customFormat="1" ht="17.25" customHeight="1" x14ac:dyDescent="0.2">
      <c r="A262" s="50" t="s">
        <v>532</v>
      </c>
      <c r="B262" s="134" t="s">
        <v>533</v>
      </c>
      <c r="C262" s="147" t="s">
        <v>2</v>
      </c>
      <c r="D262" s="95" t="s">
        <v>534</v>
      </c>
      <c r="E262" s="68">
        <f t="shared" si="52"/>
        <v>740800</v>
      </c>
      <c r="F262" s="107">
        <v>740800</v>
      </c>
      <c r="G262" s="107">
        <v>583000</v>
      </c>
      <c r="H262" s="107"/>
      <c r="I262" s="107"/>
      <c r="J262" s="68">
        <f t="shared" si="55"/>
        <v>0</v>
      </c>
      <c r="K262" s="107"/>
      <c r="L262" s="107"/>
      <c r="M262" s="107"/>
      <c r="N262" s="107"/>
      <c r="O262" s="69">
        <f>K262</f>
        <v>0</v>
      </c>
      <c r="P262" s="103">
        <f t="shared" si="54"/>
        <v>740800</v>
      </c>
    </row>
    <row r="263" spans="1:21" s="6" customFormat="1" ht="25.5" x14ac:dyDescent="0.2">
      <c r="A263" s="53">
        <v>1200000</v>
      </c>
      <c r="B263" s="41"/>
      <c r="C263" s="148"/>
      <c r="D263" s="142" t="s">
        <v>71</v>
      </c>
      <c r="E263" s="143">
        <f>E265</f>
        <v>98640200</v>
      </c>
      <c r="F263" s="143">
        <f t="shared" ref="F263:O263" si="58">F265</f>
        <v>98640200</v>
      </c>
      <c r="G263" s="143">
        <f t="shared" si="58"/>
        <v>3544800</v>
      </c>
      <c r="H263" s="143">
        <f t="shared" si="58"/>
        <v>14045400</v>
      </c>
      <c r="I263" s="143">
        <f t="shared" si="58"/>
        <v>0</v>
      </c>
      <c r="J263" s="143">
        <f t="shared" si="58"/>
        <v>13455000</v>
      </c>
      <c r="K263" s="143">
        <f t="shared" si="58"/>
        <v>13335000</v>
      </c>
      <c r="L263" s="143">
        <f t="shared" si="58"/>
        <v>0</v>
      </c>
      <c r="M263" s="143">
        <f t="shared" si="58"/>
        <v>0</v>
      </c>
      <c r="N263" s="143">
        <f t="shared" si="58"/>
        <v>0</v>
      </c>
      <c r="O263" s="143">
        <f t="shared" si="58"/>
        <v>13455000</v>
      </c>
      <c r="P263" s="88">
        <f t="shared" si="54"/>
        <v>112095200</v>
      </c>
      <c r="R263" s="190"/>
    </row>
    <row r="264" spans="1:21" s="11" customFormat="1" x14ac:dyDescent="0.2">
      <c r="A264" s="50"/>
      <c r="B264" s="123"/>
      <c r="C264" s="182"/>
      <c r="D264" s="135" t="s">
        <v>514</v>
      </c>
      <c r="E264" s="143">
        <f>F264+I264</f>
        <v>0</v>
      </c>
      <c r="F264" s="107">
        <f>F280+F289</f>
        <v>0</v>
      </c>
      <c r="G264" s="107"/>
      <c r="H264" s="107"/>
      <c r="I264" s="107"/>
      <c r="J264" s="107">
        <f>K264+L264</f>
        <v>0</v>
      </c>
      <c r="K264" s="107">
        <f>K270+K276</f>
        <v>0</v>
      </c>
      <c r="L264" s="107"/>
      <c r="M264" s="107"/>
      <c r="N264" s="107"/>
      <c r="O264" s="107">
        <f>K264</f>
        <v>0</v>
      </c>
      <c r="P264" s="103">
        <f t="shared" si="54"/>
        <v>0</v>
      </c>
    </row>
    <row r="265" spans="1:21" s="6" customFormat="1" ht="25.5" x14ac:dyDescent="0.2">
      <c r="A265" s="51" t="s">
        <v>314</v>
      </c>
      <c r="B265" s="43"/>
      <c r="C265" s="148"/>
      <c r="D265" s="135" t="s">
        <v>112</v>
      </c>
      <c r="E265" s="143">
        <f>E266+E267+E268+E278+E279+E284+E275+E286+E291+E292+E293+E294+E282+E281+E295+E277+E296+E287</f>
        <v>98640200</v>
      </c>
      <c r="F265" s="143">
        <f>F266+F267+F268+F278+F279+F284+F275+F286+F291+F292+F293+F294+F282+F281+F295+F277+F296+F287</f>
        <v>98640200</v>
      </c>
      <c r="G265" s="143">
        <f>G266+G267+G268+G278+G279+G284+G275+G286+G291+G292+G293+G294+G282+G281+G295+G277+G296+G287</f>
        <v>3544800</v>
      </c>
      <c r="H265" s="143">
        <f>H266+H267+H268+H278+H279+H284+H275+H286+H291+H292+H293+H294+H282+H281+H295+H277+H296+H287</f>
        <v>14045400</v>
      </c>
      <c r="I265" s="143">
        <f>I266+I267+I268+I278+I279+I284+I275+I286+I291+I292+I293+I294+I282+I281+I295+I277+I296+I287</f>
        <v>0</v>
      </c>
      <c r="J265" s="143">
        <f t="shared" ref="J265:O265" si="59">J266+J267+J268+J278+J279+J284+J275+J286+J291+J292+J293+J294+J282+J281+J277+J274+J269+J285</f>
        <v>13455000</v>
      </c>
      <c r="K265" s="143">
        <f t="shared" si="59"/>
        <v>13335000</v>
      </c>
      <c r="L265" s="143">
        <f t="shared" si="59"/>
        <v>0</v>
      </c>
      <c r="M265" s="143">
        <f t="shared" si="59"/>
        <v>0</v>
      </c>
      <c r="N265" s="143">
        <f t="shared" si="59"/>
        <v>0</v>
      </c>
      <c r="O265" s="143">
        <f t="shared" si="59"/>
        <v>13455000</v>
      </c>
      <c r="P265" s="143">
        <f>P266+P267+P268+P278+P279+P284+P275+P286+P291+P292+P293+P294+P282+P281+P295+P277+P296+P269+P274+P287+P285</f>
        <v>112095200</v>
      </c>
    </row>
    <row r="266" spans="1:21" s="6" customFormat="1" ht="25.5" x14ac:dyDescent="0.2">
      <c r="A266" s="51" t="s">
        <v>315</v>
      </c>
      <c r="B266" s="36" t="s">
        <v>197</v>
      </c>
      <c r="C266" s="36" t="s">
        <v>122</v>
      </c>
      <c r="D266" s="99" t="s">
        <v>196</v>
      </c>
      <c r="E266" s="68">
        <f t="shared" ref="E266:E290" si="60">F266+I266</f>
        <v>4660200</v>
      </c>
      <c r="F266" s="69">
        <f>4910500-250300</f>
        <v>4660200</v>
      </c>
      <c r="G266" s="69">
        <f>3750000-205200</f>
        <v>3544800</v>
      </c>
      <c r="H266" s="69">
        <v>159200</v>
      </c>
      <c r="I266" s="69"/>
      <c r="J266" s="68">
        <f>L266+O266</f>
        <v>0</v>
      </c>
      <c r="K266" s="89"/>
      <c r="L266" s="69"/>
      <c r="M266" s="69"/>
      <c r="N266" s="69"/>
      <c r="O266" s="89">
        <f t="shared" ref="O266:O294" si="61">K266</f>
        <v>0</v>
      </c>
      <c r="P266" s="88">
        <f t="shared" ref="P266:P282" si="62">E266+J266</f>
        <v>4660200</v>
      </c>
    </row>
    <row r="267" spans="1:21" ht="25.5" hidden="1" x14ac:dyDescent="0.2">
      <c r="A267" s="51">
        <v>4016010</v>
      </c>
      <c r="B267" s="63" t="s">
        <v>55</v>
      </c>
      <c r="C267" s="63" t="s">
        <v>125</v>
      </c>
      <c r="D267" s="105" t="s">
        <v>80</v>
      </c>
      <c r="E267" s="68">
        <f t="shared" si="60"/>
        <v>0</v>
      </c>
      <c r="F267" s="89"/>
      <c r="G267" s="89"/>
      <c r="H267" s="89"/>
      <c r="I267" s="89"/>
      <c r="J267" s="68">
        <f t="shared" ref="J267:J291" si="63">L267+O267</f>
        <v>0</v>
      </c>
      <c r="K267" s="89"/>
      <c r="L267" s="89"/>
      <c r="M267" s="89"/>
      <c r="N267" s="89"/>
      <c r="O267" s="89">
        <f t="shared" si="61"/>
        <v>0</v>
      </c>
      <c r="P267" s="88">
        <f t="shared" si="62"/>
        <v>0</v>
      </c>
      <c r="Q267" s="6"/>
      <c r="R267" s="6"/>
      <c r="S267" s="6"/>
      <c r="T267" s="6"/>
      <c r="U267" s="6"/>
    </row>
    <row r="268" spans="1:21" hidden="1" x14ac:dyDescent="0.2">
      <c r="A268" s="51" t="s">
        <v>317</v>
      </c>
      <c r="B268" s="63" t="s">
        <v>55</v>
      </c>
      <c r="C268" s="63"/>
      <c r="D268" s="150" t="s">
        <v>316</v>
      </c>
      <c r="E268" s="68">
        <f t="shared" si="60"/>
        <v>0</v>
      </c>
      <c r="F268" s="68"/>
      <c r="G268" s="68"/>
      <c r="H268" s="68"/>
      <c r="I268" s="68">
        <f>I269+I272+I273+I271+I274</f>
        <v>0</v>
      </c>
      <c r="J268" s="68">
        <f t="shared" si="63"/>
        <v>0</v>
      </c>
      <c r="K268" s="68"/>
      <c r="L268" s="68">
        <f>L269+L272+L273+L271+L274</f>
        <v>0</v>
      </c>
      <c r="M268" s="68">
        <f>M269+M272+M273+M271+M274</f>
        <v>0</v>
      </c>
      <c r="N268" s="68">
        <f>N269+N272+N273+N271+N274</f>
        <v>0</v>
      </c>
      <c r="O268" s="89">
        <f t="shared" si="61"/>
        <v>0</v>
      </c>
      <c r="P268" s="88">
        <f t="shared" si="62"/>
        <v>0</v>
      </c>
      <c r="Q268" s="6"/>
      <c r="R268" s="6"/>
      <c r="S268" s="6"/>
      <c r="T268" s="6"/>
      <c r="U268" s="6"/>
    </row>
    <row r="269" spans="1:21" s="13" customFormat="1" x14ac:dyDescent="0.2">
      <c r="A269" s="50" t="s">
        <v>320</v>
      </c>
      <c r="B269" s="39" t="s">
        <v>319</v>
      </c>
      <c r="C269" s="39" t="s">
        <v>125</v>
      </c>
      <c r="D269" s="32" t="s">
        <v>318</v>
      </c>
      <c r="E269" s="64">
        <f t="shared" si="60"/>
        <v>0</v>
      </c>
      <c r="F269" s="67"/>
      <c r="G269" s="67"/>
      <c r="H269" s="67"/>
      <c r="I269" s="67"/>
      <c r="J269" s="68">
        <f t="shared" si="63"/>
        <v>500000</v>
      </c>
      <c r="K269" s="67">
        <f>500000+1225000-1225000</f>
        <v>500000</v>
      </c>
      <c r="L269" s="67"/>
      <c r="M269" s="67"/>
      <c r="N269" s="67"/>
      <c r="O269" s="89">
        <f t="shared" si="61"/>
        <v>500000</v>
      </c>
      <c r="P269" s="88">
        <f t="shared" si="62"/>
        <v>500000</v>
      </c>
      <c r="Q269" s="11"/>
      <c r="R269" s="11"/>
      <c r="S269" s="11"/>
      <c r="T269" s="11"/>
      <c r="U269" s="11"/>
    </row>
    <row r="270" spans="1:21" s="13" customFormat="1" hidden="1" x14ac:dyDescent="0.2">
      <c r="A270" s="50"/>
      <c r="B270" s="39"/>
      <c r="C270" s="39"/>
      <c r="D270" s="135" t="s">
        <v>514</v>
      </c>
      <c r="E270" s="64"/>
      <c r="F270" s="67"/>
      <c r="G270" s="67"/>
      <c r="H270" s="67"/>
      <c r="I270" s="67"/>
      <c r="J270" s="68">
        <f t="shared" si="63"/>
        <v>0</v>
      </c>
      <c r="K270" s="67"/>
      <c r="L270" s="67"/>
      <c r="M270" s="67"/>
      <c r="N270" s="67"/>
      <c r="O270" s="89">
        <f t="shared" si="61"/>
        <v>0</v>
      </c>
      <c r="P270" s="88">
        <f t="shared" si="62"/>
        <v>0</v>
      </c>
      <c r="Q270" s="11"/>
      <c r="R270" s="11"/>
      <c r="S270" s="11"/>
      <c r="T270" s="11"/>
      <c r="U270" s="11"/>
    </row>
    <row r="271" spans="1:21" s="13" customFormat="1" hidden="1" x14ac:dyDescent="0.2">
      <c r="A271" s="50" t="s">
        <v>492</v>
      </c>
      <c r="B271" s="39" t="s">
        <v>493</v>
      </c>
      <c r="C271" s="39" t="s">
        <v>72</v>
      </c>
      <c r="D271" s="32" t="s">
        <v>494</v>
      </c>
      <c r="E271" s="64">
        <f t="shared" si="60"/>
        <v>0</v>
      </c>
      <c r="F271" s="67"/>
      <c r="G271" s="67"/>
      <c r="H271" s="67"/>
      <c r="I271" s="67"/>
      <c r="J271" s="68">
        <f t="shared" si="63"/>
        <v>0</v>
      </c>
      <c r="K271" s="67"/>
      <c r="L271" s="67"/>
      <c r="M271" s="67"/>
      <c r="N271" s="67"/>
      <c r="O271" s="89">
        <f t="shared" si="61"/>
        <v>0</v>
      </c>
      <c r="P271" s="88">
        <f t="shared" si="62"/>
        <v>0</v>
      </c>
      <c r="Q271" s="11"/>
      <c r="R271" s="11"/>
      <c r="S271" s="11"/>
      <c r="T271" s="11"/>
      <c r="U271" s="11"/>
    </row>
    <row r="272" spans="1:21" s="13" customFormat="1" hidden="1" x14ac:dyDescent="0.2">
      <c r="A272" s="50" t="s">
        <v>322</v>
      </c>
      <c r="B272" s="39" t="s">
        <v>321</v>
      </c>
      <c r="C272" s="39" t="s">
        <v>72</v>
      </c>
      <c r="D272" s="32" t="s">
        <v>323</v>
      </c>
      <c r="E272" s="64">
        <f t="shared" si="60"/>
        <v>0</v>
      </c>
      <c r="F272" s="67"/>
      <c r="G272" s="67"/>
      <c r="H272" s="67"/>
      <c r="I272" s="67"/>
      <c r="J272" s="68">
        <f t="shared" si="63"/>
        <v>0</v>
      </c>
      <c r="K272" s="67"/>
      <c r="L272" s="67"/>
      <c r="M272" s="67"/>
      <c r="N272" s="67"/>
      <c r="O272" s="89">
        <f t="shared" si="61"/>
        <v>0</v>
      </c>
      <c r="P272" s="88">
        <f t="shared" si="62"/>
        <v>0</v>
      </c>
      <c r="Q272" s="11"/>
      <c r="R272" s="11"/>
      <c r="S272" s="11"/>
      <c r="T272" s="11"/>
      <c r="U272" s="11"/>
    </row>
    <row r="273" spans="1:21" s="13" customFormat="1" ht="25.5" hidden="1" x14ac:dyDescent="0.2">
      <c r="A273" s="50" t="s">
        <v>327</v>
      </c>
      <c r="B273" s="39" t="s">
        <v>328</v>
      </c>
      <c r="C273" s="39" t="s">
        <v>72</v>
      </c>
      <c r="D273" s="32" t="s">
        <v>166</v>
      </c>
      <c r="E273" s="64">
        <f t="shared" si="60"/>
        <v>0</v>
      </c>
      <c r="F273" s="67"/>
      <c r="G273" s="67"/>
      <c r="H273" s="67"/>
      <c r="I273" s="67"/>
      <c r="J273" s="68">
        <f t="shared" si="63"/>
        <v>0</v>
      </c>
      <c r="K273" s="67"/>
      <c r="L273" s="67"/>
      <c r="M273" s="67"/>
      <c r="N273" s="67"/>
      <c r="O273" s="89">
        <f t="shared" si="61"/>
        <v>0</v>
      </c>
      <c r="P273" s="88">
        <f t="shared" si="62"/>
        <v>0</v>
      </c>
      <c r="Q273" s="11"/>
      <c r="R273" s="11"/>
      <c r="S273" s="11"/>
      <c r="T273" s="11"/>
      <c r="U273" s="11"/>
    </row>
    <row r="274" spans="1:21" s="13" customFormat="1" ht="25.5" x14ac:dyDescent="0.2">
      <c r="A274" s="50" t="s">
        <v>379</v>
      </c>
      <c r="B274" s="39" t="s">
        <v>377</v>
      </c>
      <c r="C274" s="39" t="s">
        <v>72</v>
      </c>
      <c r="D274" s="32" t="s">
        <v>378</v>
      </c>
      <c r="E274" s="64">
        <f t="shared" si="60"/>
        <v>0</v>
      </c>
      <c r="F274" s="67"/>
      <c r="G274" s="67"/>
      <c r="H274" s="67"/>
      <c r="I274" s="67"/>
      <c r="J274" s="68">
        <f t="shared" si="63"/>
        <v>1225000</v>
      </c>
      <c r="K274" s="67">
        <f>O274-120000</f>
        <v>1105000</v>
      </c>
      <c r="L274" s="67"/>
      <c r="M274" s="67"/>
      <c r="N274" s="67"/>
      <c r="O274" s="89">
        <f>1225000+177000-177000</f>
        <v>1225000</v>
      </c>
      <c r="P274" s="88">
        <f t="shared" si="62"/>
        <v>1225000</v>
      </c>
      <c r="Q274" s="11"/>
      <c r="R274" s="11"/>
      <c r="S274" s="11"/>
      <c r="T274" s="11"/>
      <c r="U274" s="11"/>
    </row>
    <row r="275" spans="1:21" ht="29.25" hidden="1" customHeight="1" x14ac:dyDescent="0.2">
      <c r="A275" s="51" t="s">
        <v>332</v>
      </c>
      <c r="B275" s="151">
        <v>6020</v>
      </c>
      <c r="C275" s="14" t="s">
        <v>72</v>
      </c>
      <c r="D275" s="73" t="s">
        <v>331</v>
      </c>
      <c r="E275" s="64">
        <f t="shared" si="60"/>
        <v>0</v>
      </c>
      <c r="F275" s="89"/>
      <c r="G275" s="89"/>
      <c r="H275" s="89"/>
      <c r="I275" s="89"/>
      <c r="J275" s="68">
        <f t="shared" si="63"/>
        <v>0</v>
      </c>
      <c r="K275" s="89"/>
      <c r="L275" s="89"/>
      <c r="M275" s="89"/>
      <c r="N275" s="89"/>
      <c r="O275" s="89">
        <f>K275</f>
        <v>0</v>
      </c>
      <c r="P275" s="88">
        <f>E275+J275</f>
        <v>0</v>
      </c>
      <c r="Q275" s="6"/>
      <c r="R275" s="6"/>
      <c r="S275" s="6"/>
      <c r="T275" s="6"/>
      <c r="U275" s="6"/>
    </row>
    <row r="276" spans="1:21" s="13" customFormat="1" hidden="1" x14ac:dyDescent="0.2">
      <c r="A276" s="50"/>
      <c r="B276" s="154"/>
      <c r="C276" s="39"/>
      <c r="D276" s="135" t="s">
        <v>514</v>
      </c>
      <c r="E276" s="64">
        <f t="shared" si="60"/>
        <v>0</v>
      </c>
      <c r="F276" s="67"/>
      <c r="G276" s="67"/>
      <c r="H276" s="67"/>
      <c r="I276" s="67"/>
      <c r="J276" s="64">
        <f t="shared" si="63"/>
        <v>0</v>
      </c>
      <c r="K276" s="67"/>
      <c r="L276" s="67"/>
      <c r="M276" s="67"/>
      <c r="N276" s="67"/>
      <c r="O276" s="67">
        <f>K276</f>
        <v>0</v>
      </c>
      <c r="P276" s="103">
        <f>E276+J276</f>
        <v>0</v>
      </c>
      <c r="Q276" s="11"/>
      <c r="R276" s="11"/>
      <c r="S276" s="11"/>
      <c r="T276" s="11"/>
      <c r="U276" s="11"/>
    </row>
    <row r="277" spans="1:21" ht="25.5" hidden="1" x14ac:dyDescent="0.2">
      <c r="A277" s="51" t="s">
        <v>332</v>
      </c>
      <c r="B277" s="151">
        <v>6020</v>
      </c>
      <c r="C277" s="14" t="s">
        <v>72</v>
      </c>
      <c r="D277" s="135" t="s">
        <v>331</v>
      </c>
      <c r="E277" s="64">
        <f t="shared" si="60"/>
        <v>0</v>
      </c>
      <c r="F277" s="89"/>
      <c r="G277" s="89"/>
      <c r="H277" s="89"/>
      <c r="I277" s="89"/>
      <c r="J277" s="68">
        <f t="shared" si="63"/>
        <v>0</v>
      </c>
      <c r="K277" s="89"/>
      <c r="L277" s="89"/>
      <c r="M277" s="89"/>
      <c r="N277" s="89"/>
      <c r="O277" s="89">
        <f>K277</f>
        <v>0</v>
      </c>
      <c r="P277" s="88">
        <f>E277+J277</f>
        <v>0</v>
      </c>
      <c r="Q277" s="6"/>
      <c r="R277" s="6"/>
      <c r="S277" s="6"/>
      <c r="T277" s="6"/>
      <c r="U277" s="6"/>
    </row>
    <row r="278" spans="1:21" ht="15" customHeight="1" x14ac:dyDescent="0.2">
      <c r="A278" s="51" t="s">
        <v>326</v>
      </c>
      <c r="B278" s="14" t="s">
        <v>325</v>
      </c>
      <c r="C278" s="14" t="s">
        <v>72</v>
      </c>
      <c r="D278" s="97" t="s">
        <v>324</v>
      </c>
      <c r="E278" s="68">
        <f t="shared" si="60"/>
        <v>73350000</v>
      </c>
      <c r="F278" s="152">
        <f>73350000+1373000-1373000</f>
        <v>73350000</v>
      </c>
      <c r="G278" s="152"/>
      <c r="H278" s="152">
        <v>13886200</v>
      </c>
      <c r="I278" s="153"/>
      <c r="J278" s="68">
        <f t="shared" si="63"/>
        <v>6923000</v>
      </c>
      <c r="K278" s="153">
        <f>6673000+250000</f>
        <v>6923000</v>
      </c>
      <c r="L278" s="153"/>
      <c r="M278" s="153"/>
      <c r="N278" s="153"/>
      <c r="O278" s="89">
        <f>K278</f>
        <v>6923000</v>
      </c>
      <c r="P278" s="88">
        <f t="shared" si="62"/>
        <v>80273000</v>
      </c>
      <c r="Q278" s="6"/>
      <c r="R278" s="6"/>
      <c r="S278" s="6"/>
      <c r="T278" s="6"/>
      <c r="U278" s="6"/>
    </row>
    <row r="279" spans="1:21" ht="29.25" hidden="1" customHeight="1" x14ac:dyDescent="0.2">
      <c r="A279" s="51">
        <v>4016100</v>
      </c>
      <c r="B279" s="126" t="s">
        <v>165</v>
      </c>
      <c r="C279" s="126" t="s">
        <v>72</v>
      </c>
      <c r="D279" s="20" t="s">
        <v>166</v>
      </c>
      <c r="E279" s="68">
        <f t="shared" si="60"/>
        <v>0</v>
      </c>
      <c r="F279" s="89"/>
      <c r="G279" s="89"/>
      <c r="H279" s="89"/>
      <c r="I279" s="89"/>
      <c r="J279" s="68">
        <f t="shared" si="63"/>
        <v>0</v>
      </c>
      <c r="K279" s="89"/>
      <c r="L279" s="89"/>
      <c r="M279" s="89"/>
      <c r="N279" s="89"/>
      <c r="O279" s="89">
        <f>K279</f>
        <v>0</v>
      </c>
      <c r="P279" s="88">
        <f t="shared" si="62"/>
        <v>0</v>
      </c>
      <c r="Q279" s="6"/>
      <c r="R279" s="6"/>
      <c r="S279" s="6"/>
      <c r="T279" s="6"/>
      <c r="U279" s="6"/>
    </row>
    <row r="280" spans="1:21" hidden="1" x14ac:dyDescent="0.2">
      <c r="A280" s="51"/>
      <c r="B280" s="126"/>
      <c r="C280" s="126"/>
      <c r="D280" s="135" t="s">
        <v>514</v>
      </c>
      <c r="E280" s="64">
        <f t="shared" si="60"/>
        <v>0</v>
      </c>
      <c r="F280" s="67"/>
      <c r="G280" s="89"/>
      <c r="H280" s="89"/>
      <c r="I280" s="89"/>
      <c r="J280" s="68"/>
      <c r="K280" s="89"/>
      <c r="L280" s="89"/>
      <c r="M280" s="89"/>
      <c r="N280" s="89"/>
      <c r="O280" s="89"/>
      <c r="P280" s="103">
        <f t="shared" si="62"/>
        <v>0</v>
      </c>
      <c r="Q280" s="6"/>
      <c r="R280" s="6"/>
      <c r="S280" s="6"/>
      <c r="T280" s="6"/>
      <c r="U280" s="6"/>
    </row>
    <row r="281" spans="1:21" ht="15.75" x14ac:dyDescent="0.25">
      <c r="A281" s="51" t="s">
        <v>330</v>
      </c>
      <c r="B281" s="126" t="s">
        <v>329</v>
      </c>
      <c r="C281" s="126" t="s">
        <v>72</v>
      </c>
      <c r="D281" s="21" t="s">
        <v>172</v>
      </c>
      <c r="E281" s="68">
        <f t="shared" si="60"/>
        <v>370000</v>
      </c>
      <c r="F281" s="89">
        <v>370000</v>
      </c>
      <c r="G281" s="89"/>
      <c r="H281" s="89"/>
      <c r="I281" s="89"/>
      <c r="J281" s="68">
        <f t="shared" si="63"/>
        <v>0</v>
      </c>
      <c r="K281" s="89"/>
      <c r="L281" s="89"/>
      <c r="M281" s="89"/>
      <c r="N281" s="89"/>
      <c r="O281" s="89">
        <f t="shared" si="61"/>
        <v>0</v>
      </c>
      <c r="P281" s="88">
        <f t="shared" si="62"/>
        <v>370000</v>
      </c>
      <c r="Q281" s="6"/>
      <c r="R281" s="6"/>
      <c r="S281" s="6"/>
      <c r="T281" s="6"/>
      <c r="U281" s="6"/>
    </row>
    <row r="282" spans="1:21" hidden="1" x14ac:dyDescent="0.2">
      <c r="A282" s="51" t="s">
        <v>335</v>
      </c>
      <c r="B282" s="151">
        <v>6070</v>
      </c>
      <c r="C282" s="14"/>
      <c r="D282" s="20" t="s">
        <v>333</v>
      </c>
      <c r="E282" s="68">
        <f>F282+I282</f>
        <v>0</v>
      </c>
      <c r="F282" s="69"/>
      <c r="G282" s="69"/>
      <c r="H282" s="69"/>
      <c r="I282" s="69">
        <f>I283</f>
        <v>0</v>
      </c>
      <c r="J282" s="68">
        <f t="shared" si="63"/>
        <v>0</v>
      </c>
      <c r="K282" s="69"/>
      <c r="L282" s="69">
        <f>L283</f>
        <v>0</v>
      </c>
      <c r="M282" s="69">
        <f>M283</f>
        <v>0</v>
      </c>
      <c r="N282" s="69">
        <f>N283</f>
        <v>0</v>
      </c>
      <c r="O282" s="89">
        <f t="shared" si="61"/>
        <v>0</v>
      </c>
      <c r="P282" s="88">
        <f t="shared" si="62"/>
        <v>0</v>
      </c>
      <c r="Q282" s="6"/>
      <c r="R282" s="6"/>
      <c r="S282" s="6"/>
      <c r="T282" s="6"/>
      <c r="U282" s="6"/>
    </row>
    <row r="283" spans="1:21" s="13" customFormat="1" ht="114.75" hidden="1" x14ac:dyDescent="0.2">
      <c r="A283" s="50" t="s">
        <v>336</v>
      </c>
      <c r="B283" s="154">
        <v>6072</v>
      </c>
      <c r="C283" s="39" t="s">
        <v>167</v>
      </c>
      <c r="D283" s="71" t="s">
        <v>334</v>
      </c>
      <c r="E283" s="64">
        <f>F283+I283</f>
        <v>0</v>
      </c>
      <c r="F283" s="107"/>
      <c r="G283" s="107"/>
      <c r="H283" s="107"/>
      <c r="I283" s="107"/>
      <c r="J283" s="68">
        <f t="shared" si="63"/>
        <v>0</v>
      </c>
      <c r="K283" s="67"/>
      <c r="L283" s="107"/>
      <c r="M283" s="107"/>
      <c r="N283" s="107"/>
      <c r="O283" s="89">
        <f t="shared" si="61"/>
        <v>0</v>
      </c>
      <c r="P283" s="103"/>
      <c r="Q283" s="11"/>
      <c r="R283" s="11"/>
      <c r="S283" s="11"/>
      <c r="T283" s="11"/>
      <c r="U283" s="11"/>
    </row>
    <row r="284" spans="1:21" s="27" customFormat="1" x14ac:dyDescent="0.2">
      <c r="A284" s="52" t="s">
        <v>354</v>
      </c>
      <c r="B284" s="126" t="s">
        <v>353</v>
      </c>
      <c r="C284" s="126" t="s">
        <v>167</v>
      </c>
      <c r="D284" s="73" t="s">
        <v>352</v>
      </c>
      <c r="E284" s="68">
        <f t="shared" si="60"/>
        <v>0</v>
      </c>
      <c r="F284" s="89"/>
      <c r="G284" s="89"/>
      <c r="H284" s="89"/>
      <c r="I284" s="89"/>
      <c r="J284" s="68">
        <f t="shared" si="63"/>
        <v>500000</v>
      </c>
      <c r="K284" s="89">
        <v>500000</v>
      </c>
      <c r="L284" s="89"/>
      <c r="M284" s="89"/>
      <c r="N284" s="89"/>
      <c r="O284" s="89">
        <f t="shared" si="61"/>
        <v>500000</v>
      </c>
      <c r="P284" s="88">
        <f t="shared" ref="P284:P304" si="64">E284+J284</f>
        <v>500000</v>
      </c>
      <c r="Q284" s="28"/>
      <c r="R284" s="28"/>
      <c r="S284" s="28"/>
      <c r="T284" s="28"/>
      <c r="U284" s="28"/>
    </row>
    <row r="285" spans="1:21" s="27" customFormat="1" x14ac:dyDescent="0.2">
      <c r="A285" s="52" t="s">
        <v>637</v>
      </c>
      <c r="B285" s="126" t="s">
        <v>386</v>
      </c>
      <c r="C285" s="36" t="s">
        <v>387</v>
      </c>
      <c r="D285" s="99" t="s">
        <v>385</v>
      </c>
      <c r="E285" s="68"/>
      <c r="F285" s="89"/>
      <c r="G285" s="89"/>
      <c r="H285" s="89"/>
      <c r="I285" s="89"/>
      <c r="J285" s="68">
        <f t="shared" si="63"/>
        <v>500000</v>
      </c>
      <c r="K285" s="89">
        <v>500000</v>
      </c>
      <c r="L285" s="89"/>
      <c r="M285" s="89"/>
      <c r="N285" s="89"/>
      <c r="O285" s="89">
        <f>K285</f>
        <v>500000</v>
      </c>
      <c r="P285" s="88">
        <f t="shared" si="64"/>
        <v>500000</v>
      </c>
      <c r="Q285" s="28"/>
      <c r="R285" s="28"/>
      <c r="S285" s="28"/>
      <c r="T285" s="28"/>
      <c r="U285" s="28"/>
    </row>
    <row r="286" spans="1:21" hidden="1" x14ac:dyDescent="0.2">
      <c r="A286" s="51" t="s">
        <v>339</v>
      </c>
      <c r="B286" s="96" t="s">
        <v>338</v>
      </c>
      <c r="C286" s="14"/>
      <c r="D286" s="97" t="s">
        <v>337</v>
      </c>
      <c r="E286" s="68">
        <f t="shared" si="60"/>
        <v>0</v>
      </c>
      <c r="F286" s="89"/>
      <c r="G286" s="89"/>
      <c r="H286" s="89"/>
      <c r="I286" s="89">
        <f>I287+I288+I290</f>
        <v>0</v>
      </c>
      <c r="J286" s="68">
        <f t="shared" si="63"/>
        <v>0</v>
      </c>
      <c r="K286" s="89"/>
      <c r="L286" s="89">
        <f>L287+L288+L290</f>
        <v>0</v>
      </c>
      <c r="M286" s="89">
        <f>M287+M288+M290</f>
        <v>0</v>
      </c>
      <c r="N286" s="89">
        <f>N287+N288+N290</f>
        <v>0</v>
      </c>
      <c r="O286" s="89">
        <f t="shared" si="61"/>
        <v>0</v>
      </c>
      <c r="P286" s="88">
        <f t="shared" si="64"/>
        <v>0</v>
      </c>
      <c r="Q286" s="6"/>
      <c r="R286" s="6"/>
      <c r="S286" s="6"/>
      <c r="T286" s="6"/>
      <c r="U286" s="6"/>
    </row>
    <row r="287" spans="1:21" s="13" customFormat="1" ht="25.5" x14ac:dyDescent="0.2">
      <c r="A287" s="50" t="s">
        <v>342</v>
      </c>
      <c r="B287" s="205" t="s">
        <v>341</v>
      </c>
      <c r="C287" s="39" t="s">
        <v>73</v>
      </c>
      <c r="D287" s="32" t="s">
        <v>340</v>
      </c>
      <c r="E287" s="64">
        <f t="shared" si="60"/>
        <v>20000000</v>
      </c>
      <c r="F287" s="67">
        <v>20000000</v>
      </c>
      <c r="G287" s="67"/>
      <c r="H287" s="67"/>
      <c r="I287" s="67"/>
      <c r="J287" s="68">
        <f t="shared" si="63"/>
        <v>0</v>
      </c>
      <c r="K287" s="67"/>
      <c r="L287" s="67"/>
      <c r="M287" s="67"/>
      <c r="N287" s="67"/>
      <c r="O287" s="89">
        <f t="shared" si="61"/>
        <v>0</v>
      </c>
      <c r="P287" s="88">
        <f t="shared" si="64"/>
        <v>20000000</v>
      </c>
      <c r="Q287" s="11"/>
      <c r="R287" s="11"/>
      <c r="S287" s="11"/>
      <c r="T287" s="11"/>
      <c r="U287" s="11"/>
    </row>
    <row r="288" spans="1:21" s="13" customFormat="1" ht="25.5" hidden="1" x14ac:dyDescent="0.2">
      <c r="A288" s="50" t="s">
        <v>345</v>
      </c>
      <c r="B288" s="205" t="s">
        <v>344</v>
      </c>
      <c r="C288" s="33" t="s">
        <v>73</v>
      </c>
      <c r="D288" s="55" t="s">
        <v>343</v>
      </c>
      <c r="E288" s="64">
        <f t="shared" si="60"/>
        <v>0</v>
      </c>
      <c r="F288" s="67"/>
      <c r="G288" s="67"/>
      <c r="H288" s="67"/>
      <c r="I288" s="67"/>
      <c r="J288" s="68">
        <f t="shared" si="63"/>
        <v>0</v>
      </c>
      <c r="K288" s="67"/>
      <c r="L288" s="67"/>
      <c r="M288" s="67"/>
      <c r="N288" s="67"/>
      <c r="O288" s="89">
        <f t="shared" si="61"/>
        <v>0</v>
      </c>
      <c r="P288" s="88">
        <f t="shared" si="64"/>
        <v>0</v>
      </c>
      <c r="Q288" s="11"/>
      <c r="R288" s="11"/>
      <c r="S288" s="11"/>
      <c r="T288" s="11"/>
      <c r="U288" s="11"/>
    </row>
    <row r="289" spans="1:21" s="13" customFormat="1" hidden="1" x14ac:dyDescent="0.2">
      <c r="A289" s="50"/>
      <c r="B289" s="205"/>
      <c r="C289" s="33"/>
      <c r="D289" s="135" t="s">
        <v>514</v>
      </c>
      <c r="E289" s="64">
        <f t="shared" si="60"/>
        <v>0</v>
      </c>
      <c r="F289" s="67"/>
      <c r="G289" s="67"/>
      <c r="H289" s="67"/>
      <c r="I289" s="67"/>
      <c r="J289" s="68"/>
      <c r="K289" s="67"/>
      <c r="L289" s="67"/>
      <c r="M289" s="67"/>
      <c r="N289" s="67"/>
      <c r="O289" s="89"/>
      <c r="P289" s="88">
        <f t="shared" si="64"/>
        <v>0</v>
      </c>
      <c r="Q289" s="11"/>
      <c r="R289" s="11"/>
      <c r="S289" s="11"/>
      <c r="T289" s="11"/>
      <c r="U289" s="11"/>
    </row>
    <row r="290" spans="1:21" s="13" customFormat="1" ht="25.5" hidden="1" customHeight="1" x14ac:dyDescent="0.2">
      <c r="A290" s="50" t="s">
        <v>348</v>
      </c>
      <c r="B290" s="205" t="s">
        <v>347</v>
      </c>
      <c r="C290" s="33" t="s">
        <v>73</v>
      </c>
      <c r="D290" s="55" t="s">
        <v>346</v>
      </c>
      <c r="E290" s="64">
        <f t="shared" si="60"/>
        <v>0</v>
      </c>
      <c r="F290" s="67"/>
      <c r="G290" s="67"/>
      <c r="H290" s="67"/>
      <c r="I290" s="67"/>
      <c r="J290" s="68">
        <f t="shared" si="63"/>
        <v>0</v>
      </c>
      <c r="K290" s="67"/>
      <c r="L290" s="67"/>
      <c r="M290" s="67"/>
      <c r="N290" s="67"/>
      <c r="O290" s="89">
        <f t="shared" si="61"/>
        <v>0</v>
      </c>
      <c r="P290" s="103">
        <f t="shared" si="64"/>
        <v>0</v>
      </c>
      <c r="Q290" s="11"/>
      <c r="R290" s="11"/>
      <c r="S290" s="11"/>
      <c r="T290" s="11"/>
      <c r="U290" s="11"/>
    </row>
    <row r="291" spans="1:21" x14ac:dyDescent="0.2">
      <c r="A291" s="51" t="s">
        <v>349</v>
      </c>
      <c r="B291" s="94" t="s">
        <v>185</v>
      </c>
      <c r="C291" s="14" t="s">
        <v>129</v>
      </c>
      <c r="D291" s="95" t="s">
        <v>83</v>
      </c>
      <c r="E291" s="68"/>
      <c r="F291" s="153"/>
      <c r="G291" s="153"/>
      <c r="H291" s="153"/>
      <c r="I291" s="153"/>
      <c r="J291" s="68">
        <f t="shared" si="63"/>
        <v>27000</v>
      </c>
      <c r="K291" s="153">
        <v>27000</v>
      </c>
      <c r="L291" s="153"/>
      <c r="M291" s="153"/>
      <c r="N291" s="153"/>
      <c r="O291" s="89">
        <f t="shared" si="61"/>
        <v>27000</v>
      </c>
      <c r="P291" s="88">
        <f t="shared" si="64"/>
        <v>27000</v>
      </c>
      <c r="Q291" s="6"/>
      <c r="R291" s="6"/>
      <c r="S291" s="6"/>
      <c r="T291" s="6"/>
      <c r="U291" s="6"/>
    </row>
    <row r="292" spans="1:21" hidden="1" x14ac:dyDescent="0.2">
      <c r="A292" s="51" t="s">
        <v>351</v>
      </c>
      <c r="B292" s="96" t="s">
        <v>184</v>
      </c>
      <c r="C292" s="14" t="s">
        <v>128</v>
      </c>
      <c r="D292" s="97" t="s">
        <v>350</v>
      </c>
      <c r="E292" s="68"/>
      <c r="F292" s="89"/>
      <c r="G292" s="89"/>
      <c r="H292" s="89"/>
      <c r="I292" s="89"/>
      <c r="J292" s="68">
        <f>L292+O292</f>
        <v>0</v>
      </c>
      <c r="K292" s="89"/>
      <c r="L292" s="89"/>
      <c r="M292" s="89"/>
      <c r="N292" s="89"/>
      <c r="O292" s="89">
        <f t="shared" si="61"/>
        <v>0</v>
      </c>
      <c r="P292" s="88">
        <f t="shared" si="64"/>
        <v>0</v>
      </c>
      <c r="Q292" s="6"/>
      <c r="R292" s="6"/>
      <c r="S292" s="6"/>
      <c r="T292" s="6"/>
      <c r="U292" s="6"/>
    </row>
    <row r="293" spans="1:21" s="22" customFormat="1" hidden="1" x14ac:dyDescent="0.2">
      <c r="A293" s="114" t="s">
        <v>354</v>
      </c>
      <c r="B293" s="155" t="s">
        <v>353</v>
      </c>
      <c r="C293" s="115" t="s">
        <v>167</v>
      </c>
      <c r="D293" s="156" t="s">
        <v>352</v>
      </c>
      <c r="E293" s="117"/>
      <c r="F293" s="157"/>
      <c r="G293" s="157"/>
      <c r="H293" s="157"/>
      <c r="I293" s="157"/>
      <c r="J293" s="117">
        <f>L293+O293</f>
        <v>0</v>
      </c>
      <c r="K293" s="157"/>
      <c r="L293" s="157"/>
      <c r="M293" s="157"/>
      <c r="N293" s="157"/>
      <c r="O293" s="89">
        <f t="shared" si="61"/>
        <v>0</v>
      </c>
      <c r="P293" s="119">
        <f t="shared" si="64"/>
        <v>0</v>
      </c>
      <c r="Q293" s="23"/>
      <c r="R293" s="23"/>
      <c r="S293" s="23"/>
      <c r="T293" s="23"/>
      <c r="U293" s="23"/>
    </row>
    <row r="294" spans="1:21" x14ac:dyDescent="0.2">
      <c r="A294" s="51" t="s">
        <v>351</v>
      </c>
      <c r="B294" s="14" t="s">
        <v>184</v>
      </c>
      <c r="C294" s="14" t="s">
        <v>128</v>
      </c>
      <c r="D294" s="38" t="s">
        <v>350</v>
      </c>
      <c r="E294" s="68">
        <f>F294+I294</f>
        <v>0</v>
      </c>
      <c r="F294" s="93"/>
      <c r="G294" s="93"/>
      <c r="H294" s="93"/>
      <c r="I294" s="93"/>
      <c r="J294" s="68">
        <f>L294+O294</f>
        <v>3780000</v>
      </c>
      <c r="K294" s="93">
        <v>3780000</v>
      </c>
      <c r="L294" s="93"/>
      <c r="M294" s="93"/>
      <c r="N294" s="93"/>
      <c r="O294" s="89">
        <f t="shared" si="61"/>
        <v>3780000</v>
      </c>
      <c r="P294" s="88">
        <f t="shared" si="64"/>
        <v>3780000</v>
      </c>
      <c r="Q294" s="6"/>
      <c r="R294" s="6"/>
      <c r="S294" s="6"/>
      <c r="T294" s="6"/>
      <c r="U294" s="6"/>
    </row>
    <row r="295" spans="1:21" hidden="1" x14ac:dyDescent="0.2">
      <c r="A295" s="51" t="s">
        <v>597</v>
      </c>
      <c r="B295" s="14" t="s">
        <v>193</v>
      </c>
      <c r="C295" s="39" t="s">
        <v>128</v>
      </c>
      <c r="D295" s="40" t="s">
        <v>194</v>
      </c>
      <c r="E295" s="68">
        <f>F295+I295</f>
        <v>0</v>
      </c>
      <c r="F295" s="93"/>
      <c r="G295" s="93"/>
      <c r="H295" s="93"/>
      <c r="I295" s="93"/>
      <c r="J295" s="68">
        <f>L295+O295</f>
        <v>0</v>
      </c>
      <c r="K295" s="93"/>
      <c r="L295" s="93"/>
      <c r="M295" s="93"/>
      <c r="N295" s="93"/>
      <c r="O295" s="89"/>
      <c r="P295" s="88">
        <f t="shared" si="64"/>
        <v>0</v>
      </c>
      <c r="Q295" s="6"/>
      <c r="R295" s="6"/>
      <c r="S295" s="6"/>
      <c r="T295" s="6"/>
      <c r="U295" s="6"/>
    </row>
    <row r="296" spans="1:21" ht="25.5" x14ac:dyDescent="0.2">
      <c r="A296" s="51" t="s">
        <v>603</v>
      </c>
      <c r="B296" s="14" t="s">
        <v>187</v>
      </c>
      <c r="C296" s="39" t="s">
        <v>131</v>
      </c>
      <c r="D296" s="40" t="s">
        <v>415</v>
      </c>
      <c r="E296" s="68">
        <f>F296+I296</f>
        <v>260000</v>
      </c>
      <c r="F296" s="93">
        <v>260000</v>
      </c>
      <c r="G296" s="93"/>
      <c r="H296" s="93"/>
      <c r="I296" s="93"/>
      <c r="J296" s="68">
        <f>L296+O296</f>
        <v>0</v>
      </c>
      <c r="K296" s="93"/>
      <c r="L296" s="93"/>
      <c r="M296" s="93"/>
      <c r="N296" s="93"/>
      <c r="O296" s="89"/>
      <c r="P296" s="88">
        <f t="shared" si="64"/>
        <v>260000</v>
      </c>
      <c r="Q296" s="6"/>
      <c r="R296" s="6"/>
      <c r="S296" s="6"/>
      <c r="T296" s="6"/>
      <c r="U296" s="6"/>
    </row>
    <row r="297" spans="1:21" s="6" customFormat="1" ht="25.5" x14ac:dyDescent="0.2">
      <c r="A297" s="53">
        <v>1500000</v>
      </c>
      <c r="B297" s="41"/>
      <c r="C297" s="148"/>
      <c r="D297" s="142" t="s">
        <v>75</v>
      </c>
      <c r="E297" s="143">
        <f>E305</f>
        <v>4101000</v>
      </c>
      <c r="F297" s="143">
        <f t="shared" ref="F297:O297" si="65">F305</f>
        <v>4101000</v>
      </c>
      <c r="G297" s="143">
        <f t="shared" si="65"/>
        <v>2868800</v>
      </c>
      <c r="H297" s="143">
        <f t="shared" si="65"/>
        <v>68000</v>
      </c>
      <c r="I297" s="143">
        <f t="shared" si="65"/>
        <v>0</v>
      </c>
      <c r="J297" s="143">
        <f t="shared" si="65"/>
        <v>262340135</v>
      </c>
      <c r="K297" s="143">
        <f>K305</f>
        <v>222340135</v>
      </c>
      <c r="L297" s="143">
        <f t="shared" si="65"/>
        <v>0</v>
      </c>
      <c r="M297" s="143">
        <f t="shared" si="65"/>
        <v>0</v>
      </c>
      <c r="N297" s="143">
        <f t="shared" si="65"/>
        <v>0</v>
      </c>
      <c r="O297" s="143">
        <f t="shared" si="65"/>
        <v>262340135</v>
      </c>
      <c r="P297" s="88">
        <f t="shared" si="64"/>
        <v>266441135</v>
      </c>
      <c r="R297" s="190"/>
    </row>
    <row r="298" spans="1:21" s="11" customFormat="1" hidden="1" x14ac:dyDescent="0.2">
      <c r="A298" s="50"/>
      <c r="B298" s="123"/>
      <c r="C298" s="182"/>
      <c r="D298" s="135" t="s">
        <v>514</v>
      </c>
      <c r="E298" s="107"/>
      <c r="F298" s="107"/>
      <c r="G298" s="107"/>
      <c r="H298" s="107"/>
      <c r="I298" s="107"/>
      <c r="J298" s="107">
        <f>L298+O298</f>
        <v>0</v>
      </c>
      <c r="K298" s="107">
        <f>K313+K325</f>
        <v>0</v>
      </c>
      <c r="L298" s="107"/>
      <c r="M298" s="107"/>
      <c r="N298" s="107"/>
      <c r="O298" s="107">
        <f>K298</f>
        <v>0</v>
      </c>
      <c r="P298" s="103">
        <f t="shared" si="64"/>
        <v>0</v>
      </c>
    </row>
    <row r="299" spans="1:21" s="11" customFormat="1" ht="51" hidden="1" x14ac:dyDescent="0.2">
      <c r="A299" s="50"/>
      <c r="B299" s="123"/>
      <c r="C299" s="182"/>
      <c r="D299" s="32" t="s">
        <v>614</v>
      </c>
      <c r="E299" s="107"/>
      <c r="F299" s="107"/>
      <c r="G299" s="107"/>
      <c r="H299" s="107"/>
      <c r="I299" s="107"/>
      <c r="J299" s="107">
        <f t="shared" ref="J299:O299" si="66">J324</f>
        <v>0</v>
      </c>
      <c r="K299" s="107">
        <f t="shared" si="66"/>
        <v>0</v>
      </c>
      <c r="L299" s="107">
        <f t="shared" si="66"/>
        <v>0</v>
      </c>
      <c r="M299" s="107">
        <f t="shared" si="66"/>
        <v>0</v>
      </c>
      <c r="N299" s="107">
        <f t="shared" si="66"/>
        <v>0</v>
      </c>
      <c r="O299" s="107">
        <f t="shared" si="66"/>
        <v>0</v>
      </c>
      <c r="P299" s="103">
        <f t="shared" si="64"/>
        <v>0</v>
      </c>
    </row>
    <row r="300" spans="1:21" s="11" customFormat="1" ht="38.25" hidden="1" x14ac:dyDescent="0.2">
      <c r="A300" s="50"/>
      <c r="B300" s="123"/>
      <c r="C300" s="182"/>
      <c r="D300" s="71" t="s">
        <v>617</v>
      </c>
      <c r="E300" s="107"/>
      <c r="F300" s="107"/>
      <c r="G300" s="107"/>
      <c r="H300" s="107"/>
      <c r="I300" s="107"/>
      <c r="J300" s="107">
        <f t="shared" ref="J300:O300" si="67">J335</f>
        <v>0</v>
      </c>
      <c r="K300" s="107">
        <f t="shared" si="67"/>
        <v>0</v>
      </c>
      <c r="L300" s="107">
        <f t="shared" si="67"/>
        <v>0</v>
      </c>
      <c r="M300" s="107">
        <f t="shared" si="67"/>
        <v>0</v>
      </c>
      <c r="N300" s="107">
        <f t="shared" si="67"/>
        <v>0</v>
      </c>
      <c r="O300" s="107">
        <f t="shared" si="67"/>
        <v>0</v>
      </c>
      <c r="P300" s="103">
        <f t="shared" si="64"/>
        <v>0</v>
      </c>
    </row>
    <row r="301" spans="1:21" s="11" customFormat="1" ht="38.25" hidden="1" x14ac:dyDescent="0.2">
      <c r="A301" s="50"/>
      <c r="B301" s="123"/>
      <c r="C301" s="182"/>
      <c r="D301" s="32" t="s">
        <v>615</v>
      </c>
      <c r="E301" s="107"/>
      <c r="F301" s="107"/>
      <c r="G301" s="107"/>
      <c r="H301" s="107"/>
      <c r="I301" s="107"/>
      <c r="J301" s="107">
        <f>L301+O301</f>
        <v>0</v>
      </c>
      <c r="K301" s="107">
        <f>K309</f>
        <v>0</v>
      </c>
      <c r="L301" s="107">
        <f>L309</f>
        <v>0</v>
      </c>
      <c r="M301" s="107">
        <f>M309</f>
        <v>0</v>
      </c>
      <c r="N301" s="107">
        <f>N309</f>
        <v>0</v>
      </c>
      <c r="O301" s="107">
        <f>O309</f>
        <v>0</v>
      </c>
      <c r="P301" s="103">
        <f t="shared" si="64"/>
        <v>0</v>
      </c>
    </row>
    <row r="302" spans="1:21" s="11" customFormat="1" ht="25.5" hidden="1" x14ac:dyDescent="0.2">
      <c r="A302" s="50"/>
      <c r="B302" s="123"/>
      <c r="C302" s="182"/>
      <c r="D302" s="54" t="s">
        <v>541</v>
      </c>
      <c r="E302" s="107"/>
      <c r="F302" s="107"/>
      <c r="G302" s="107"/>
      <c r="H302" s="107"/>
      <c r="I302" s="107"/>
      <c r="J302" s="107">
        <f t="shared" ref="J302:O302" si="68">J342</f>
        <v>0</v>
      </c>
      <c r="K302" s="107">
        <f t="shared" si="68"/>
        <v>0</v>
      </c>
      <c r="L302" s="107">
        <f t="shared" si="68"/>
        <v>0</v>
      </c>
      <c r="M302" s="107">
        <f t="shared" si="68"/>
        <v>0</v>
      </c>
      <c r="N302" s="107">
        <f t="shared" si="68"/>
        <v>0</v>
      </c>
      <c r="O302" s="107">
        <f t="shared" si="68"/>
        <v>0</v>
      </c>
      <c r="P302" s="103">
        <f t="shared" si="64"/>
        <v>0</v>
      </c>
    </row>
    <row r="303" spans="1:21" s="11" customFormat="1" ht="25.5" hidden="1" x14ac:dyDescent="0.2">
      <c r="A303" s="50"/>
      <c r="B303" s="123"/>
      <c r="C303" s="182"/>
      <c r="D303" s="56" t="s">
        <v>616</v>
      </c>
      <c r="E303" s="107"/>
      <c r="F303" s="107"/>
      <c r="G303" s="107"/>
      <c r="H303" s="107"/>
      <c r="I303" s="107"/>
      <c r="J303" s="107">
        <f t="shared" ref="J303:O303" si="69">J350</f>
        <v>0</v>
      </c>
      <c r="K303" s="107">
        <f t="shared" si="69"/>
        <v>0</v>
      </c>
      <c r="L303" s="107">
        <f t="shared" si="69"/>
        <v>0</v>
      </c>
      <c r="M303" s="107">
        <f t="shared" si="69"/>
        <v>0</v>
      </c>
      <c r="N303" s="107">
        <f t="shared" si="69"/>
        <v>0</v>
      </c>
      <c r="O303" s="107">
        <f t="shared" si="69"/>
        <v>0</v>
      </c>
      <c r="P303" s="103">
        <f t="shared" si="64"/>
        <v>0</v>
      </c>
    </row>
    <row r="304" spans="1:21" s="6" customFormat="1" ht="17.25" customHeight="1" x14ac:dyDescent="0.2">
      <c r="A304" s="53"/>
      <c r="B304" s="41"/>
      <c r="C304" s="148"/>
      <c r="D304" s="56" t="s">
        <v>515</v>
      </c>
      <c r="E304" s="143">
        <f>F304+I304</f>
        <v>0</v>
      </c>
      <c r="F304" s="143"/>
      <c r="G304" s="143"/>
      <c r="H304" s="143"/>
      <c r="I304" s="143"/>
      <c r="J304" s="107">
        <f>L304+O304</f>
        <v>40000000</v>
      </c>
      <c r="K304" s="107"/>
      <c r="L304" s="107"/>
      <c r="M304" s="107"/>
      <c r="N304" s="107"/>
      <c r="O304" s="186">
        <f>O348</f>
        <v>40000000</v>
      </c>
      <c r="P304" s="88">
        <f t="shared" si="64"/>
        <v>40000000</v>
      </c>
    </row>
    <row r="305" spans="1:16" s="6" customFormat="1" ht="17.25" customHeight="1" x14ac:dyDescent="0.2">
      <c r="A305" s="51" t="s">
        <v>355</v>
      </c>
      <c r="B305" s="43"/>
      <c r="C305" s="148"/>
      <c r="D305" s="135" t="s">
        <v>75</v>
      </c>
      <c r="E305" s="149">
        <f>E306+E307+E308+E310+E311+E312+E314+E315+E329+E331+E333+E320+E317+E336+E347+E322+E323+E346</f>
        <v>4101000</v>
      </c>
      <c r="F305" s="149">
        <f>F306+F307+F308+F310+F311+F312+F314+F315+F329+F331+F333+F320+F317+F336+F347+F322+F323+F346</f>
        <v>4101000</v>
      </c>
      <c r="G305" s="143">
        <f>G306+G307+G308+G310+G311+G312+G314+G315+G329+G331+G333+G320+G317+G336+G347+G322+G323</f>
        <v>2868800</v>
      </c>
      <c r="H305" s="143">
        <f>H306+H307+H308+H310+H311+H312+H314+H315+H329+H331+H333+H320+H317+H336+H347+H322+H323</f>
        <v>68000</v>
      </c>
      <c r="I305" s="143">
        <f>I306+I307+I308+I310+I311+I312+I314+I315+I329+I331+I333+I320+I317+I336+I347+I322+I323</f>
        <v>0</v>
      </c>
      <c r="J305" s="143">
        <f>J306+J308+J310+J312+J319+J320+J321+J322+J326+J327+J336+J338+J341+J344+J347</f>
        <v>262340135</v>
      </c>
      <c r="K305" s="143">
        <f t="shared" ref="K305:P305" si="70">K306+K308+K310+K312+K319+K320+K321+K322+K326+K327+K336+K338+K341+K344+K347</f>
        <v>222340135</v>
      </c>
      <c r="L305" s="143">
        <f t="shared" si="70"/>
        <v>0</v>
      </c>
      <c r="M305" s="143">
        <f t="shared" si="70"/>
        <v>0</v>
      </c>
      <c r="N305" s="143">
        <f t="shared" si="70"/>
        <v>0</v>
      </c>
      <c r="O305" s="143">
        <f t="shared" si="70"/>
        <v>262340135</v>
      </c>
      <c r="P305" s="143">
        <f t="shared" si="70"/>
        <v>266441135</v>
      </c>
    </row>
    <row r="306" spans="1:16" s="6" customFormat="1" ht="25.5" x14ac:dyDescent="0.2">
      <c r="A306" s="51" t="s">
        <v>356</v>
      </c>
      <c r="B306" s="36" t="s">
        <v>197</v>
      </c>
      <c r="C306" s="36" t="s">
        <v>122</v>
      </c>
      <c r="D306" s="99" t="s">
        <v>196</v>
      </c>
      <c r="E306" s="68">
        <f t="shared" ref="E306:E349" si="71">F306+I306</f>
        <v>4002500</v>
      </c>
      <c r="F306" s="69">
        <v>4002500</v>
      </c>
      <c r="G306" s="69">
        <f>2225300+643500</f>
        <v>2868800</v>
      </c>
      <c r="H306" s="69">
        <v>68000</v>
      </c>
      <c r="I306" s="69"/>
      <c r="J306" s="68">
        <f t="shared" ref="J306:J342" si="72">L306+O306</f>
        <v>500000</v>
      </c>
      <c r="K306" s="69">
        <v>500000</v>
      </c>
      <c r="L306" s="69"/>
      <c r="M306" s="69"/>
      <c r="N306" s="69"/>
      <c r="O306" s="69">
        <f t="shared" ref="O306:O328" si="73">K306</f>
        <v>500000</v>
      </c>
      <c r="P306" s="88">
        <f t="shared" ref="P306:P352" si="74">E306+J306</f>
        <v>4502500</v>
      </c>
    </row>
    <row r="307" spans="1:16" s="6" customFormat="1" hidden="1" x14ac:dyDescent="0.2">
      <c r="A307" s="51" t="s">
        <v>357</v>
      </c>
      <c r="B307" s="94" t="s">
        <v>60</v>
      </c>
      <c r="C307" s="94" t="s">
        <v>138</v>
      </c>
      <c r="D307" s="73" t="s">
        <v>199</v>
      </c>
      <c r="E307" s="68">
        <f t="shared" si="71"/>
        <v>0</v>
      </c>
      <c r="F307" s="69"/>
      <c r="G307" s="69"/>
      <c r="H307" s="69"/>
      <c r="I307" s="69"/>
      <c r="J307" s="68">
        <f t="shared" si="72"/>
        <v>0</v>
      </c>
      <c r="K307" s="69"/>
      <c r="L307" s="69"/>
      <c r="M307" s="69"/>
      <c r="N307" s="69"/>
      <c r="O307" s="69">
        <f t="shared" si="73"/>
        <v>0</v>
      </c>
      <c r="P307" s="88">
        <f t="shared" si="74"/>
        <v>0</v>
      </c>
    </row>
    <row r="308" spans="1:16" s="28" customFormat="1" ht="25.5" x14ac:dyDescent="0.2">
      <c r="A308" s="52" t="s">
        <v>380</v>
      </c>
      <c r="B308" s="94" t="s">
        <v>62</v>
      </c>
      <c r="C308" s="94" t="s">
        <v>139</v>
      </c>
      <c r="D308" s="97" t="s">
        <v>630</v>
      </c>
      <c r="E308" s="68">
        <f t="shared" si="71"/>
        <v>0</v>
      </c>
      <c r="F308" s="69"/>
      <c r="G308" s="69"/>
      <c r="H308" s="69"/>
      <c r="I308" s="69"/>
      <c r="J308" s="68">
        <f t="shared" si="72"/>
        <v>1378881</v>
      </c>
      <c r="K308" s="69">
        <f>1328881+50000</f>
        <v>1378881</v>
      </c>
      <c r="L308" s="69"/>
      <c r="M308" s="69"/>
      <c r="N308" s="69"/>
      <c r="O308" s="69">
        <f t="shared" si="73"/>
        <v>1378881</v>
      </c>
      <c r="P308" s="88">
        <f t="shared" si="74"/>
        <v>1378881</v>
      </c>
    </row>
    <row r="309" spans="1:16" s="28" customFormat="1" ht="38.25" hidden="1" x14ac:dyDescent="0.2">
      <c r="A309" s="52"/>
      <c r="B309" s="94"/>
      <c r="C309" s="94"/>
      <c r="D309" s="32" t="s">
        <v>615</v>
      </c>
      <c r="E309" s="68"/>
      <c r="F309" s="69"/>
      <c r="G309" s="69"/>
      <c r="H309" s="69"/>
      <c r="I309" s="69"/>
      <c r="J309" s="68">
        <f t="shared" si="72"/>
        <v>0</v>
      </c>
      <c r="K309" s="69"/>
      <c r="L309" s="69"/>
      <c r="M309" s="69"/>
      <c r="N309" s="69"/>
      <c r="O309" s="69">
        <f>K309</f>
        <v>0</v>
      </c>
      <c r="P309" s="88">
        <f>E309+J309</f>
        <v>0</v>
      </c>
    </row>
    <row r="310" spans="1:16" s="28" customFormat="1" ht="25.5" x14ac:dyDescent="0.2">
      <c r="A310" s="52" t="s">
        <v>567</v>
      </c>
      <c r="B310" s="94" t="s">
        <v>123</v>
      </c>
      <c r="C310" s="94" t="s">
        <v>140</v>
      </c>
      <c r="D310" s="97" t="s">
        <v>202</v>
      </c>
      <c r="E310" s="68">
        <f t="shared" si="71"/>
        <v>0</v>
      </c>
      <c r="F310" s="69"/>
      <c r="G310" s="69"/>
      <c r="H310" s="69"/>
      <c r="I310" s="69"/>
      <c r="J310" s="68">
        <f t="shared" si="72"/>
        <v>5050</v>
      </c>
      <c r="K310" s="69">
        <v>5050</v>
      </c>
      <c r="L310" s="69"/>
      <c r="M310" s="69"/>
      <c r="N310" s="69"/>
      <c r="O310" s="69">
        <f t="shared" si="73"/>
        <v>5050</v>
      </c>
      <c r="P310" s="88">
        <f t="shared" si="74"/>
        <v>5050</v>
      </c>
    </row>
    <row r="311" spans="1:16" s="23" customFormat="1" ht="25.5" hidden="1" x14ac:dyDescent="0.2">
      <c r="A311" s="52" t="s">
        <v>563</v>
      </c>
      <c r="B311" s="94" t="s">
        <v>305</v>
      </c>
      <c r="C311" s="94" t="s">
        <v>140</v>
      </c>
      <c r="D311" s="73" t="s">
        <v>304</v>
      </c>
      <c r="E311" s="68">
        <f t="shared" si="71"/>
        <v>0</v>
      </c>
      <c r="F311" s="69"/>
      <c r="G311" s="69"/>
      <c r="H311" s="69"/>
      <c r="I311" s="69"/>
      <c r="J311" s="68">
        <f t="shared" si="72"/>
        <v>0</v>
      </c>
      <c r="K311" s="69"/>
      <c r="L311" s="69"/>
      <c r="M311" s="69"/>
      <c r="N311" s="69"/>
      <c r="O311" s="69">
        <f t="shared" si="73"/>
        <v>0</v>
      </c>
      <c r="P311" s="88">
        <f t="shared" si="74"/>
        <v>0</v>
      </c>
    </row>
    <row r="312" spans="1:16" s="28" customFormat="1" x14ac:dyDescent="0.2">
      <c r="A312" s="52" t="s">
        <v>381</v>
      </c>
      <c r="B312" s="63" t="s">
        <v>34</v>
      </c>
      <c r="C312" s="63" t="s">
        <v>3</v>
      </c>
      <c r="D312" s="73" t="s">
        <v>95</v>
      </c>
      <c r="E312" s="68">
        <f>F312+I312</f>
        <v>0</v>
      </c>
      <c r="F312" s="69"/>
      <c r="G312" s="69"/>
      <c r="H312" s="69"/>
      <c r="I312" s="69"/>
      <c r="J312" s="68">
        <f t="shared" si="72"/>
        <v>11990877</v>
      </c>
      <c r="K312" s="69">
        <v>11990877</v>
      </c>
      <c r="L312" s="69"/>
      <c r="M312" s="69"/>
      <c r="N312" s="69"/>
      <c r="O312" s="69">
        <f t="shared" si="73"/>
        <v>11990877</v>
      </c>
      <c r="P312" s="88">
        <f t="shared" si="74"/>
        <v>11990877</v>
      </c>
    </row>
    <row r="313" spans="1:16" s="11" customFormat="1" hidden="1" x14ac:dyDescent="0.2">
      <c r="A313" s="50"/>
      <c r="B313" s="30"/>
      <c r="C313" s="30"/>
      <c r="D313" s="55" t="s">
        <v>514</v>
      </c>
      <c r="E313" s="64"/>
      <c r="F313" s="107"/>
      <c r="G313" s="107"/>
      <c r="H313" s="107"/>
      <c r="I313" s="107"/>
      <c r="J313" s="64">
        <f t="shared" si="72"/>
        <v>0</v>
      </c>
      <c r="K313" s="107"/>
      <c r="L313" s="107"/>
      <c r="M313" s="107"/>
      <c r="N313" s="107"/>
      <c r="O313" s="107">
        <f t="shared" si="73"/>
        <v>0</v>
      </c>
      <c r="P313" s="88">
        <f t="shared" si="74"/>
        <v>0</v>
      </c>
    </row>
    <row r="314" spans="1:16" s="65" customFormat="1" hidden="1" x14ac:dyDescent="0.2">
      <c r="A314" s="158" t="s">
        <v>543</v>
      </c>
      <c r="B314" s="159" t="s">
        <v>212</v>
      </c>
      <c r="C314" s="159" t="s">
        <v>4</v>
      </c>
      <c r="D314" s="160" t="s">
        <v>97</v>
      </c>
      <c r="E314" s="161">
        <f t="shared" si="71"/>
        <v>0</v>
      </c>
      <c r="F314" s="162"/>
      <c r="G314" s="162"/>
      <c r="H314" s="162"/>
      <c r="I314" s="162"/>
      <c r="J314" s="161">
        <f t="shared" si="72"/>
        <v>0</v>
      </c>
      <c r="K314" s="162"/>
      <c r="L314" s="162"/>
      <c r="M314" s="162"/>
      <c r="N314" s="162"/>
      <c r="O314" s="162">
        <f t="shared" si="73"/>
        <v>0</v>
      </c>
      <c r="P314" s="163">
        <f t="shared" si="74"/>
        <v>0</v>
      </c>
    </row>
    <row r="315" spans="1:16" s="28" customFormat="1" hidden="1" x14ac:dyDescent="0.2">
      <c r="A315" s="52" t="s">
        <v>382</v>
      </c>
      <c r="B315" s="36" t="s">
        <v>220</v>
      </c>
      <c r="C315" s="63"/>
      <c r="D315" s="76" t="s">
        <v>455</v>
      </c>
      <c r="E315" s="68">
        <f t="shared" si="71"/>
        <v>0</v>
      </c>
      <c r="F315" s="69">
        <f>F316</f>
        <v>0</v>
      </c>
      <c r="G315" s="69">
        <f>G316</f>
        <v>0</v>
      </c>
      <c r="H315" s="69">
        <f>H316</f>
        <v>0</v>
      </c>
      <c r="I315" s="69">
        <f>I316</f>
        <v>0</v>
      </c>
      <c r="J315" s="68">
        <f t="shared" si="72"/>
        <v>0</v>
      </c>
      <c r="K315" s="69"/>
      <c r="L315" s="69">
        <f>L316</f>
        <v>0</v>
      </c>
      <c r="M315" s="69">
        <f>M316</f>
        <v>0</v>
      </c>
      <c r="N315" s="69">
        <f>N316</f>
        <v>0</v>
      </c>
      <c r="O315" s="69">
        <f t="shared" si="73"/>
        <v>0</v>
      </c>
      <c r="P315" s="88">
        <f t="shared" si="74"/>
        <v>0</v>
      </c>
    </row>
    <row r="316" spans="1:16" s="11" customFormat="1" ht="25.5" hidden="1" x14ac:dyDescent="0.2">
      <c r="A316" s="50" t="s">
        <v>383</v>
      </c>
      <c r="B316" s="29" t="s">
        <v>223</v>
      </c>
      <c r="C316" s="30" t="s">
        <v>481</v>
      </c>
      <c r="D316" s="31" t="s">
        <v>222</v>
      </c>
      <c r="E316" s="64">
        <f t="shared" si="71"/>
        <v>0</v>
      </c>
      <c r="F316" s="107"/>
      <c r="G316" s="107"/>
      <c r="H316" s="107"/>
      <c r="I316" s="107"/>
      <c r="J316" s="64">
        <f t="shared" si="72"/>
        <v>0</v>
      </c>
      <c r="K316" s="107"/>
      <c r="L316" s="107"/>
      <c r="M316" s="107"/>
      <c r="N316" s="107"/>
      <c r="O316" s="69">
        <f t="shared" si="73"/>
        <v>0</v>
      </c>
      <c r="P316" s="103">
        <f t="shared" si="74"/>
        <v>0</v>
      </c>
    </row>
    <row r="317" spans="1:16" s="28" customFormat="1" ht="25.5" hidden="1" x14ac:dyDescent="0.2">
      <c r="A317" s="51" t="s">
        <v>564</v>
      </c>
      <c r="B317" s="36" t="s">
        <v>54</v>
      </c>
      <c r="C317" s="94" t="s">
        <v>68</v>
      </c>
      <c r="D317" s="97" t="s">
        <v>302</v>
      </c>
      <c r="E317" s="68">
        <f t="shared" si="71"/>
        <v>0</v>
      </c>
      <c r="F317" s="69"/>
      <c r="G317" s="69"/>
      <c r="H317" s="69"/>
      <c r="I317" s="69"/>
      <c r="J317" s="68">
        <f t="shared" si="72"/>
        <v>0</v>
      </c>
      <c r="K317" s="69"/>
      <c r="L317" s="69"/>
      <c r="M317" s="69"/>
      <c r="N317" s="69"/>
      <c r="O317" s="69">
        <f t="shared" si="73"/>
        <v>0</v>
      </c>
      <c r="P317" s="88">
        <f t="shared" si="74"/>
        <v>0</v>
      </c>
    </row>
    <row r="318" spans="1:16" s="28" customFormat="1" ht="25.5" hidden="1" x14ac:dyDescent="0.2">
      <c r="A318" s="52" t="s">
        <v>596</v>
      </c>
      <c r="B318" s="36" t="s">
        <v>144</v>
      </c>
      <c r="C318" s="134" t="s">
        <v>2</v>
      </c>
      <c r="D318" s="37" t="s">
        <v>93</v>
      </c>
      <c r="E318" s="68"/>
      <c r="F318" s="69"/>
      <c r="G318" s="69"/>
      <c r="H318" s="69"/>
      <c r="I318" s="69"/>
      <c r="J318" s="68">
        <f>L318+O318</f>
        <v>0</v>
      </c>
      <c r="K318" s="69"/>
      <c r="L318" s="69"/>
      <c r="M318" s="69"/>
      <c r="N318" s="69"/>
      <c r="O318" s="69">
        <f>K318</f>
        <v>0</v>
      </c>
      <c r="P318" s="88">
        <f>E318+J318</f>
        <v>0</v>
      </c>
    </row>
    <row r="319" spans="1:16" s="28" customFormat="1" ht="25.5" x14ac:dyDescent="0.2">
      <c r="A319" s="51" t="s">
        <v>640</v>
      </c>
      <c r="B319" s="36" t="s">
        <v>638</v>
      </c>
      <c r="C319" s="134" t="s">
        <v>2</v>
      </c>
      <c r="D319" s="37" t="s">
        <v>639</v>
      </c>
      <c r="E319" s="68"/>
      <c r="F319" s="69"/>
      <c r="G319" s="69"/>
      <c r="H319" s="69"/>
      <c r="I319" s="69"/>
      <c r="J319" s="68">
        <f>L319+O319</f>
        <v>2831691</v>
      </c>
      <c r="K319" s="69">
        <v>2831691</v>
      </c>
      <c r="L319" s="69"/>
      <c r="M319" s="69"/>
      <c r="N319" s="69"/>
      <c r="O319" s="69">
        <f>K319</f>
        <v>2831691</v>
      </c>
      <c r="P319" s="88">
        <f>E319+J319</f>
        <v>2831691</v>
      </c>
    </row>
    <row r="320" spans="1:16" s="28" customFormat="1" x14ac:dyDescent="0.2">
      <c r="A320" s="52" t="s">
        <v>384</v>
      </c>
      <c r="B320" s="94" t="s">
        <v>325</v>
      </c>
      <c r="C320" s="94" t="s">
        <v>72</v>
      </c>
      <c r="D320" s="97" t="s">
        <v>324</v>
      </c>
      <c r="E320" s="68">
        <f t="shared" si="71"/>
        <v>98500</v>
      </c>
      <c r="F320" s="164">
        <v>98500</v>
      </c>
      <c r="G320" s="164"/>
      <c r="H320" s="164"/>
      <c r="I320" s="164"/>
      <c r="J320" s="68">
        <f t="shared" si="72"/>
        <v>26389670</v>
      </c>
      <c r="K320" s="164">
        <v>26389670</v>
      </c>
      <c r="L320" s="164"/>
      <c r="M320" s="164"/>
      <c r="N320" s="164"/>
      <c r="O320" s="69">
        <f t="shared" si="73"/>
        <v>26389670</v>
      </c>
      <c r="P320" s="88">
        <f t="shared" si="74"/>
        <v>26488170</v>
      </c>
    </row>
    <row r="321" spans="1:21" s="28" customFormat="1" x14ac:dyDescent="0.2">
      <c r="A321" s="52" t="s">
        <v>613</v>
      </c>
      <c r="B321" s="94" t="s">
        <v>353</v>
      </c>
      <c r="C321" s="94" t="s">
        <v>167</v>
      </c>
      <c r="D321" s="73" t="s">
        <v>352</v>
      </c>
      <c r="E321" s="68"/>
      <c r="F321" s="164"/>
      <c r="G321" s="164"/>
      <c r="H321" s="164"/>
      <c r="I321" s="164"/>
      <c r="J321" s="68">
        <f t="shared" si="72"/>
        <v>271000</v>
      </c>
      <c r="K321" s="164">
        <v>271000</v>
      </c>
      <c r="L321" s="164"/>
      <c r="M321" s="164"/>
      <c r="N321" s="164"/>
      <c r="O321" s="69">
        <f>K321</f>
        <v>271000</v>
      </c>
      <c r="P321" s="88">
        <f>E321+J321</f>
        <v>271000</v>
      </c>
    </row>
    <row r="322" spans="1:21" s="28" customFormat="1" x14ac:dyDescent="0.2">
      <c r="A322" s="52" t="s">
        <v>388</v>
      </c>
      <c r="B322" s="36" t="s">
        <v>386</v>
      </c>
      <c r="C322" s="36" t="s">
        <v>387</v>
      </c>
      <c r="D322" s="99" t="s">
        <v>385</v>
      </c>
      <c r="E322" s="68">
        <f t="shared" si="71"/>
        <v>0</v>
      </c>
      <c r="F322" s="69"/>
      <c r="G322" s="69"/>
      <c r="H322" s="69"/>
      <c r="I322" s="69"/>
      <c r="J322" s="68">
        <f t="shared" si="72"/>
        <v>11069863</v>
      </c>
      <c r="K322" s="69">
        <f>11269863-200000</f>
        <v>11069863</v>
      </c>
      <c r="L322" s="69"/>
      <c r="M322" s="69"/>
      <c r="N322" s="69"/>
      <c r="O322" s="69">
        <f t="shared" si="73"/>
        <v>11069863</v>
      </c>
      <c r="P322" s="88">
        <f t="shared" si="74"/>
        <v>11069863</v>
      </c>
    </row>
    <row r="323" spans="1:21" s="28" customFormat="1" hidden="1" x14ac:dyDescent="0.2">
      <c r="A323" s="52" t="s">
        <v>391</v>
      </c>
      <c r="B323" s="36" t="s">
        <v>390</v>
      </c>
      <c r="C323" s="36"/>
      <c r="D323" s="97" t="s">
        <v>389</v>
      </c>
      <c r="E323" s="68">
        <f t="shared" si="71"/>
        <v>0</v>
      </c>
      <c r="F323" s="69"/>
      <c r="G323" s="69"/>
      <c r="H323" s="69"/>
      <c r="I323" s="69"/>
      <c r="J323" s="68">
        <f t="shared" si="72"/>
        <v>0</v>
      </c>
      <c r="K323" s="69"/>
      <c r="L323" s="69">
        <f>SUM(L326:L328)</f>
        <v>0</v>
      </c>
      <c r="M323" s="69">
        <f>SUM(M326:M328)</f>
        <v>0</v>
      </c>
      <c r="N323" s="69">
        <f>SUM(N326:N328)</f>
        <v>0</v>
      </c>
      <c r="O323" s="69">
        <f>K323</f>
        <v>0</v>
      </c>
      <c r="P323" s="88">
        <f>E323+J323</f>
        <v>0</v>
      </c>
    </row>
    <row r="324" spans="1:21" s="11" customFormat="1" ht="51" hidden="1" x14ac:dyDescent="0.2">
      <c r="A324" s="50"/>
      <c r="B324" s="29"/>
      <c r="C324" s="29"/>
      <c r="D324" s="32" t="s">
        <v>614</v>
      </c>
      <c r="E324" s="64"/>
      <c r="F324" s="107"/>
      <c r="G324" s="107"/>
      <c r="H324" s="107"/>
      <c r="I324" s="107"/>
      <c r="J324" s="68">
        <f t="shared" si="72"/>
        <v>0</v>
      </c>
      <c r="K324" s="107"/>
      <c r="L324" s="107"/>
      <c r="M324" s="107"/>
      <c r="N324" s="107"/>
      <c r="O324" s="69">
        <f>K324</f>
        <v>0</v>
      </c>
      <c r="P324" s="88">
        <f>E324+J324</f>
        <v>0</v>
      </c>
    </row>
    <row r="325" spans="1:21" s="11" customFormat="1" hidden="1" x14ac:dyDescent="0.2">
      <c r="A325" s="50"/>
      <c r="B325" s="29"/>
      <c r="C325" s="29"/>
      <c r="D325" s="32" t="s">
        <v>514</v>
      </c>
      <c r="E325" s="64"/>
      <c r="F325" s="107"/>
      <c r="G325" s="107"/>
      <c r="H325" s="107"/>
      <c r="I325" s="107"/>
      <c r="J325" s="64">
        <f>K325+L325</f>
        <v>0</v>
      </c>
      <c r="K325" s="107"/>
      <c r="L325" s="107"/>
      <c r="M325" s="107"/>
      <c r="N325" s="107"/>
      <c r="O325" s="69">
        <f>K325</f>
        <v>0</v>
      </c>
      <c r="P325" s="88">
        <f>E325+J325</f>
        <v>0</v>
      </c>
    </row>
    <row r="326" spans="1:21" s="11" customFormat="1" x14ac:dyDescent="0.2">
      <c r="A326" s="50" t="s">
        <v>395</v>
      </c>
      <c r="B326" s="29" t="s">
        <v>392</v>
      </c>
      <c r="C326" s="29" t="s">
        <v>387</v>
      </c>
      <c r="D326" s="32" t="s">
        <v>398</v>
      </c>
      <c r="E326" s="68">
        <f t="shared" si="71"/>
        <v>0</v>
      </c>
      <c r="F326" s="107"/>
      <c r="G326" s="107"/>
      <c r="H326" s="107"/>
      <c r="I326" s="107"/>
      <c r="J326" s="68">
        <f t="shared" si="72"/>
        <v>9670</v>
      </c>
      <c r="K326" s="107">
        <v>9670</v>
      </c>
      <c r="L326" s="107"/>
      <c r="M326" s="107"/>
      <c r="N326" s="107"/>
      <c r="O326" s="69">
        <f t="shared" si="73"/>
        <v>9670</v>
      </c>
      <c r="P326" s="88">
        <f t="shared" si="74"/>
        <v>9670</v>
      </c>
    </row>
    <row r="327" spans="1:21" s="11" customFormat="1" x14ac:dyDescent="0.2">
      <c r="A327" s="50" t="s">
        <v>396</v>
      </c>
      <c r="B327" s="29" t="s">
        <v>393</v>
      </c>
      <c r="C327" s="29" t="s">
        <v>387</v>
      </c>
      <c r="D327" s="32" t="s">
        <v>399</v>
      </c>
      <c r="E327" s="68">
        <f t="shared" si="71"/>
        <v>0</v>
      </c>
      <c r="F327" s="107"/>
      <c r="G327" s="107"/>
      <c r="H327" s="107"/>
      <c r="I327" s="107"/>
      <c r="J327" s="68">
        <f t="shared" si="72"/>
        <v>370000</v>
      </c>
      <c r="K327" s="107">
        <f>220000+150000</f>
        <v>370000</v>
      </c>
      <c r="L327" s="107"/>
      <c r="M327" s="107"/>
      <c r="N327" s="107"/>
      <c r="O327" s="69">
        <f t="shared" si="73"/>
        <v>370000</v>
      </c>
      <c r="P327" s="88">
        <f t="shared" si="74"/>
        <v>370000</v>
      </c>
    </row>
    <row r="328" spans="1:21" s="11" customFormat="1" hidden="1" x14ac:dyDescent="0.2">
      <c r="A328" s="50" t="s">
        <v>397</v>
      </c>
      <c r="B328" s="29" t="s">
        <v>394</v>
      </c>
      <c r="C328" s="29" t="s">
        <v>387</v>
      </c>
      <c r="D328" s="32" t="s">
        <v>400</v>
      </c>
      <c r="E328" s="68">
        <f t="shared" si="71"/>
        <v>0</v>
      </c>
      <c r="F328" s="107"/>
      <c r="G328" s="107"/>
      <c r="H328" s="107"/>
      <c r="I328" s="107"/>
      <c r="J328" s="68">
        <f t="shared" si="72"/>
        <v>0</v>
      </c>
      <c r="K328" s="107"/>
      <c r="L328" s="107"/>
      <c r="M328" s="107"/>
      <c r="N328" s="107"/>
      <c r="O328" s="69">
        <f t="shared" si="73"/>
        <v>0</v>
      </c>
      <c r="P328" s="88">
        <f t="shared" si="74"/>
        <v>0</v>
      </c>
    </row>
    <row r="329" spans="1:21" s="23" customFormat="1" ht="25.5" hidden="1" x14ac:dyDescent="0.2">
      <c r="A329" s="52">
        <v>4713100</v>
      </c>
      <c r="B329" s="36" t="s">
        <v>156</v>
      </c>
      <c r="C329" s="63"/>
      <c r="D329" s="133" t="s">
        <v>14</v>
      </c>
      <c r="E329" s="117">
        <f>E330</f>
        <v>0</v>
      </c>
      <c r="F329" s="117">
        <f t="shared" ref="F329:O329" si="75">F330</f>
        <v>0</v>
      </c>
      <c r="G329" s="117">
        <f t="shared" si="75"/>
        <v>0</v>
      </c>
      <c r="H329" s="117">
        <f t="shared" si="75"/>
        <v>0</v>
      </c>
      <c r="I329" s="117">
        <f t="shared" si="75"/>
        <v>0</v>
      </c>
      <c r="J329" s="68">
        <f t="shared" si="72"/>
        <v>0</v>
      </c>
      <c r="K329" s="117"/>
      <c r="L329" s="117">
        <f t="shared" si="75"/>
        <v>0</v>
      </c>
      <c r="M329" s="117">
        <f t="shared" si="75"/>
        <v>0</v>
      </c>
      <c r="N329" s="117">
        <f t="shared" si="75"/>
        <v>0</v>
      </c>
      <c r="O329" s="117">
        <f t="shared" si="75"/>
        <v>0</v>
      </c>
      <c r="P329" s="88">
        <f t="shared" si="74"/>
        <v>0</v>
      </c>
    </row>
    <row r="330" spans="1:21" s="24" customFormat="1" hidden="1" x14ac:dyDescent="0.2">
      <c r="A330" s="50">
        <v>4713105</v>
      </c>
      <c r="B330" s="29" t="s">
        <v>53</v>
      </c>
      <c r="C330" s="30" t="s">
        <v>60</v>
      </c>
      <c r="D330" s="55" t="s">
        <v>110</v>
      </c>
      <c r="E330" s="165">
        <f>F330+I330</f>
        <v>0</v>
      </c>
      <c r="F330" s="166"/>
      <c r="G330" s="166"/>
      <c r="H330" s="166"/>
      <c r="I330" s="166"/>
      <c r="J330" s="68">
        <f t="shared" si="72"/>
        <v>0</v>
      </c>
      <c r="K330" s="122"/>
      <c r="L330" s="166"/>
      <c r="M330" s="166"/>
      <c r="N330" s="166"/>
      <c r="O330" s="122">
        <f>K330</f>
        <v>0</v>
      </c>
      <c r="P330" s="88">
        <f t="shared" si="74"/>
        <v>0</v>
      </c>
    </row>
    <row r="331" spans="1:21" s="23" customFormat="1" hidden="1" x14ac:dyDescent="0.2">
      <c r="A331" s="52">
        <v>4715040</v>
      </c>
      <c r="B331" s="132" t="s">
        <v>145</v>
      </c>
      <c r="C331" s="132"/>
      <c r="D331" s="37" t="s">
        <v>146</v>
      </c>
      <c r="E331" s="117">
        <f>E332</f>
        <v>0</v>
      </c>
      <c r="F331" s="117">
        <f t="shared" ref="F331:O331" si="76">F332</f>
        <v>0</v>
      </c>
      <c r="G331" s="117">
        <f t="shared" si="76"/>
        <v>0</v>
      </c>
      <c r="H331" s="117">
        <f t="shared" si="76"/>
        <v>0</v>
      </c>
      <c r="I331" s="117">
        <f t="shared" si="76"/>
        <v>0</v>
      </c>
      <c r="J331" s="68">
        <f t="shared" si="72"/>
        <v>0</v>
      </c>
      <c r="K331" s="117"/>
      <c r="L331" s="117">
        <f t="shared" si="76"/>
        <v>0</v>
      </c>
      <c r="M331" s="117">
        <f t="shared" si="76"/>
        <v>0</v>
      </c>
      <c r="N331" s="117">
        <f t="shared" si="76"/>
        <v>0</v>
      </c>
      <c r="O331" s="117">
        <f t="shared" si="76"/>
        <v>0</v>
      </c>
      <c r="P331" s="88">
        <f t="shared" si="74"/>
        <v>0</v>
      </c>
    </row>
    <row r="332" spans="1:21" s="23" customFormat="1" hidden="1" x14ac:dyDescent="0.2">
      <c r="A332" s="104">
        <v>4715041</v>
      </c>
      <c r="B332" s="134" t="s">
        <v>147</v>
      </c>
      <c r="C332" s="134" t="s">
        <v>2</v>
      </c>
      <c r="D332" s="138" t="s">
        <v>148</v>
      </c>
      <c r="E332" s="117">
        <f>F332+I332</f>
        <v>0</v>
      </c>
      <c r="F332" s="166"/>
      <c r="G332" s="166"/>
      <c r="H332" s="166"/>
      <c r="I332" s="166"/>
      <c r="J332" s="68">
        <f t="shared" si="72"/>
        <v>0</v>
      </c>
      <c r="K332" s="118"/>
      <c r="L332" s="166"/>
      <c r="M332" s="166"/>
      <c r="N332" s="166"/>
      <c r="O332" s="122">
        <f>K332</f>
        <v>0</v>
      </c>
      <c r="P332" s="88">
        <f t="shared" si="74"/>
        <v>0</v>
      </c>
    </row>
    <row r="333" spans="1:21" s="23" customFormat="1" hidden="1" x14ac:dyDescent="0.2">
      <c r="A333" s="52">
        <v>4716050</v>
      </c>
      <c r="B333" s="36" t="s">
        <v>157</v>
      </c>
      <c r="C333" s="63"/>
      <c r="D333" s="95" t="s">
        <v>84</v>
      </c>
      <c r="E333" s="117">
        <f t="shared" si="71"/>
        <v>0</v>
      </c>
      <c r="F333" s="167"/>
      <c r="G333" s="167"/>
      <c r="H333" s="167"/>
      <c r="I333" s="167"/>
      <c r="J333" s="68">
        <f t="shared" si="72"/>
        <v>0</v>
      </c>
      <c r="K333" s="167"/>
      <c r="L333" s="167"/>
      <c r="M333" s="167"/>
      <c r="N333" s="167"/>
      <c r="O333" s="167">
        <f>O334</f>
        <v>0</v>
      </c>
      <c r="P333" s="88">
        <f t="shared" si="74"/>
        <v>0</v>
      </c>
    </row>
    <row r="334" spans="1:21" s="24" customFormat="1" hidden="1" x14ac:dyDescent="0.2">
      <c r="A334" s="50">
        <v>4716051</v>
      </c>
      <c r="B334" s="29" t="s">
        <v>56</v>
      </c>
      <c r="C334" s="29" t="s">
        <v>72</v>
      </c>
      <c r="D334" s="129" t="s">
        <v>85</v>
      </c>
      <c r="E334" s="117">
        <f t="shared" si="71"/>
        <v>0</v>
      </c>
      <c r="F334" s="166"/>
      <c r="G334" s="166"/>
      <c r="H334" s="166"/>
      <c r="I334" s="166"/>
      <c r="J334" s="68">
        <f t="shared" si="72"/>
        <v>0</v>
      </c>
      <c r="K334" s="166"/>
      <c r="L334" s="166"/>
      <c r="M334" s="166"/>
      <c r="N334" s="166"/>
      <c r="O334" s="122">
        <f t="shared" ref="O334:O342" si="77">K334</f>
        <v>0</v>
      </c>
      <c r="P334" s="88">
        <f t="shared" si="74"/>
        <v>0</v>
      </c>
    </row>
    <row r="335" spans="1:21" s="24" customFormat="1" ht="38.25" hidden="1" x14ac:dyDescent="0.2">
      <c r="A335" s="121"/>
      <c r="B335" s="25"/>
      <c r="C335" s="25"/>
      <c r="D335" s="71" t="s">
        <v>617</v>
      </c>
      <c r="E335" s="117"/>
      <c r="F335" s="166"/>
      <c r="G335" s="166"/>
      <c r="H335" s="166"/>
      <c r="I335" s="166"/>
      <c r="J335" s="68">
        <f t="shared" si="72"/>
        <v>0</v>
      </c>
      <c r="K335" s="186"/>
      <c r="L335" s="186"/>
      <c r="M335" s="186"/>
      <c r="N335" s="186"/>
      <c r="O335" s="186">
        <f>K335</f>
        <v>0</v>
      </c>
      <c r="P335" s="88">
        <f t="shared" si="74"/>
        <v>0</v>
      </c>
    </row>
    <row r="336" spans="1:21" s="46" customFormat="1" ht="15.75" customHeight="1" x14ac:dyDescent="0.2">
      <c r="A336" s="52" t="s">
        <v>508</v>
      </c>
      <c r="B336" s="45" t="s">
        <v>509</v>
      </c>
      <c r="C336" s="45" t="s">
        <v>387</v>
      </c>
      <c r="D336" s="191" t="s">
        <v>594</v>
      </c>
      <c r="E336" s="87">
        <f t="shared" si="71"/>
        <v>0</v>
      </c>
      <c r="F336" s="168"/>
      <c r="G336" s="168"/>
      <c r="H336" s="168"/>
      <c r="I336" s="168"/>
      <c r="J336" s="87">
        <f t="shared" si="72"/>
        <v>237162</v>
      </c>
      <c r="K336" s="168">
        <v>237162</v>
      </c>
      <c r="L336" s="168"/>
      <c r="M336" s="168"/>
      <c r="N336" s="168"/>
      <c r="O336" s="168">
        <f>K336</f>
        <v>237162</v>
      </c>
      <c r="P336" s="88">
        <f t="shared" si="74"/>
        <v>237162</v>
      </c>
      <c r="Q336" s="28"/>
      <c r="R336" s="28"/>
      <c r="S336" s="28"/>
      <c r="T336" s="28"/>
      <c r="U336" s="28"/>
    </row>
    <row r="337" spans="1:21" s="46" customFormat="1" ht="27.75" hidden="1" customHeight="1" x14ac:dyDescent="0.2">
      <c r="A337" s="52" t="s">
        <v>522</v>
      </c>
      <c r="B337" s="45" t="s">
        <v>523</v>
      </c>
      <c r="C337" s="45"/>
      <c r="D337" s="191" t="s">
        <v>524</v>
      </c>
      <c r="E337" s="87">
        <f t="shared" si="71"/>
        <v>0</v>
      </c>
      <c r="F337" s="168"/>
      <c r="G337" s="168"/>
      <c r="H337" s="168"/>
      <c r="I337" s="168"/>
      <c r="J337" s="87">
        <f t="shared" si="72"/>
        <v>0</v>
      </c>
      <c r="K337" s="168"/>
      <c r="L337" s="168"/>
      <c r="M337" s="168"/>
      <c r="N337" s="168"/>
      <c r="O337" s="168">
        <f t="shared" si="77"/>
        <v>0</v>
      </c>
      <c r="P337" s="88">
        <f t="shared" si="74"/>
        <v>0</v>
      </c>
      <c r="Q337" s="28"/>
      <c r="R337" s="28"/>
      <c r="S337" s="28"/>
      <c r="T337" s="28"/>
      <c r="U337" s="28"/>
    </row>
    <row r="338" spans="1:21" s="48" customFormat="1" ht="27.75" customHeight="1" x14ac:dyDescent="0.2">
      <c r="A338" s="50" t="s">
        <v>525</v>
      </c>
      <c r="B338" s="72" t="s">
        <v>526</v>
      </c>
      <c r="C338" s="72" t="s">
        <v>128</v>
      </c>
      <c r="D338" s="192" t="s">
        <v>527</v>
      </c>
      <c r="E338" s="57">
        <f t="shared" si="71"/>
        <v>0</v>
      </c>
      <c r="F338" s="74"/>
      <c r="G338" s="74"/>
      <c r="H338" s="74"/>
      <c r="I338" s="74"/>
      <c r="J338" s="57">
        <f t="shared" si="72"/>
        <v>2017100</v>
      </c>
      <c r="K338" s="107">
        <v>2017100</v>
      </c>
      <c r="L338" s="74"/>
      <c r="M338" s="74"/>
      <c r="N338" s="74"/>
      <c r="O338" s="74">
        <f t="shared" si="77"/>
        <v>2017100</v>
      </c>
      <c r="P338" s="103">
        <f t="shared" si="74"/>
        <v>2017100</v>
      </c>
      <c r="Q338" s="11"/>
      <c r="R338" s="11"/>
      <c r="S338" s="11"/>
      <c r="T338" s="11"/>
      <c r="U338" s="11"/>
    </row>
    <row r="339" spans="1:21" s="48" customFormat="1" ht="30" hidden="1" customHeight="1" x14ac:dyDescent="0.2">
      <c r="A339" s="50" t="s">
        <v>551</v>
      </c>
      <c r="B339" s="72" t="s">
        <v>548</v>
      </c>
      <c r="C339" s="72" t="s">
        <v>128</v>
      </c>
      <c r="D339" s="192" t="s">
        <v>549</v>
      </c>
      <c r="E339" s="57">
        <f t="shared" si="71"/>
        <v>0</v>
      </c>
      <c r="F339" s="74"/>
      <c r="G339" s="74"/>
      <c r="H339" s="74"/>
      <c r="I339" s="74"/>
      <c r="J339" s="57">
        <f t="shared" si="72"/>
        <v>0</v>
      </c>
      <c r="K339" s="74"/>
      <c r="L339" s="74"/>
      <c r="M339" s="74"/>
      <c r="N339" s="74"/>
      <c r="O339" s="74">
        <f t="shared" si="77"/>
        <v>0</v>
      </c>
      <c r="P339" s="103">
        <f t="shared" si="74"/>
        <v>0</v>
      </c>
      <c r="Q339" s="11"/>
      <c r="R339" s="11"/>
      <c r="S339" s="11"/>
      <c r="T339" s="11"/>
      <c r="U339" s="11"/>
    </row>
    <row r="340" spans="1:21" s="48" customFormat="1" ht="23.25" hidden="1" customHeight="1" x14ac:dyDescent="0.2">
      <c r="A340" s="50"/>
      <c r="B340" s="72"/>
      <c r="C340" s="72"/>
      <c r="D340" s="192" t="s">
        <v>550</v>
      </c>
      <c r="E340" s="57">
        <f t="shared" si="71"/>
        <v>0</v>
      </c>
      <c r="F340" s="74"/>
      <c r="G340" s="74"/>
      <c r="H340" s="74"/>
      <c r="I340" s="74"/>
      <c r="J340" s="57">
        <f t="shared" si="72"/>
        <v>0</v>
      </c>
      <c r="K340" s="74"/>
      <c r="L340" s="74"/>
      <c r="M340" s="74"/>
      <c r="N340" s="74"/>
      <c r="O340" s="74">
        <f t="shared" si="77"/>
        <v>0</v>
      </c>
      <c r="P340" s="103">
        <f t="shared" si="74"/>
        <v>0</v>
      </c>
      <c r="Q340" s="11"/>
      <c r="R340" s="11"/>
      <c r="S340" s="11"/>
      <c r="T340" s="11"/>
      <c r="U340" s="11"/>
    </row>
    <row r="341" spans="1:21" s="48" customFormat="1" ht="25.5" x14ac:dyDescent="0.2">
      <c r="A341" s="50" t="s">
        <v>539</v>
      </c>
      <c r="B341" s="39" t="s">
        <v>537</v>
      </c>
      <c r="C341" s="39" t="s">
        <v>128</v>
      </c>
      <c r="D341" s="54" t="s">
        <v>540</v>
      </c>
      <c r="E341" s="57">
        <f t="shared" si="71"/>
        <v>0</v>
      </c>
      <c r="F341" s="74"/>
      <c r="G341" s="74"/>
      <c r="H341" s="74"/>
      <c r="I341" s="74"/>
      <c r="J341" s="57">
        <f t="shared" si="72"/>
        <v>119953735</v>
      </c>
      <c r="K341" s="74">
        <f>48500000+71453735</f>
        <v>119953735</v>
      </c>
      <c r="L341" s="74"/>
      <c r="M341" s="74"/>
      <c r="N341" s="74"/>
      <c r="O341" s="74">
        <f t="shared" si="77"/>
        <v>119953735</v>
      </c>
      <c r="P341" s="103">
        <f t="shared" si="74"/>
        <v>119953735</v>
      </c>
      <c r="Q341" s="11"/>
      <c r="R341" s="11"/>
      <c r="S341" s="11"/>
      <c r="T341" s="11"/>
      <c r="U341" s="11"/>
    </row>
    <row r="342" spans="1:21" s="48" customFormat="1" ht="25.5" hidden="1" x14ac:dyDescent="0.2">
      <c r="A342" s="50"/>
      <c r="B342" s="39"/>
      <c r="C342" s="39"/>
      <c r="D342" s="54" t="s">
        <v>541</v>
      </c>
      <c r="E342" s="57"/>
      <c r="F342" s="74"/>
      <c r="G342" s="74"/>
      <c r="H342" s="74"/>
      <c r="I342" s="74"/>
      <c r="J342" s="57">
        <f t="shared" si="72"/>
        <v>0</v>
      </c>
      <c r="K342" s="74"/>
      <c r="L342" s="74"/>
      <c r="M342" s="74"/>
      <c r="N342" s="74"/>
      <c r="O342" s="74">
        <f t="shared" si="77"/>
        <v>0</v>
      </c>
      <c r="P342" s="170">
        <f t="shared" si="74"/>
        <v>0</v>
      </c>
      <c r="Q342" s="11"/>
      <c r="R342" s="11"/>
      <c r="S342" s="11"/>
      <c r="T342" s="11"/>
      <c r="U342" s="11"/>
    </row>
    <row r="343" spans="1:21" s="48" customFormat="1" hidden="1" x14ac:dyDescent="0.2">
      <c r="A343" s="51" t="s">
        <v>585</v>
      </c>
      <c r="B343" s="96" t="s">
        <v>338</v>
      </c>
      <c r="C343" s="14"/>
      <c r="D343" s="97" t="s">
        <v>337</v>
      </c>
      <c r="E343" s="57">
        <f t="shared" si="71"/>
        <v>0</v>
      </c>
      <c r="F343" s="74"/>
      <c r="G343" s="74"/>
      <c r="H343" s="74"/>
      <c r="I343" s="74"/>
      <c r="J343" s="57">
        <f>J344</f>
        <v>45315436</v>
      </c>
      <c r="K343" s="74"/>
      <c r="L343" s="74"/>
      <c r="M343" s="74"/>
      <c r="N343" s="74"/>
      <c r="O343" s="74">
        <f>K343</f>
        <v>0</v>
      </c>
      <c r="P343" s="170">
        <f t="shared" si="74"/>
        <v>45315436</v>
      </c>
      <c r="Q343" s="11"/>
      <c r="R343" s="11"/>
      <c r="S343" s="11"/>
      <c r="T343" s="11"/>
      <c r="U343" s="11"/>
    </row>
    <row r="344" spans="1:21" s="48" customFormat="1" ht="25.5" x14ac:dyDescent="0.2">
      <c r="A344" s="50" t="s">
        <v>586</v>
      </c>
      <c r="B344" s="33" t="s">
        <v>341</v>
      </c>
      <c r="C344" s="39" t="s">
        <v>73</v>
      </c>
      <c r="D344" s="32" t="s">
        <v>340</v>
      </c>
      <c r="E344" s="57">
        <f t="shared" si="71"/>
        <v>0</v>
      </c>
      <c r="F344" s="74"/>
      <c r="G344" s="74"/>
      <c r="H344" s="74"/>
      <c r="I344" s="74"/>
      <c r="J344" s="68">
        <f t="shared" ref="J344:J350" si="78">L344+O344</f>
        <v>45315436</v>
      </c>
      <c r="K344" s="74">
        <f>45745436-430000</f>
        <v>45315436</v>
      </c>
      <c r="L344" s="74"/>
      <c r="M344" s="74"/>
      <c r="N344" s="74"/>
      <c r="O344" s="74">
        <f>K344</f>
        <v>45315436</v>
      </c>
      <c r="P344" s="170">
        <f t="shared" si="74"/>
        <v>45315436</v>
      </c>
      <c r="Q344" s="11"/>
      <c r="R344" s="11"/>
      <c r="S344" s="11"/>
      <c r="T344" s="11"/>
      <c r="U344" s="11"/>
    </row>
    <row r="345" spans="1:21" s="48" customFormat="1" ht="25.5" hidden="1" x14ac:dyDescent="0.2">
      <c r="A345" s="50"/>
      <c r="B345" s="39"/>
      <c r="C345" s="39"/>
      <c r="D345" s="54" t="s">
        <v>541</v>
      </c>
      <c r="E345" s="57">
        <f t="shared" si="71"/>
        <v>0</v>
      </c>
      <c r="F345" s="74"/>
      <c r="G345" s="74"/>
      <c r="H345" s="74"/>
      <c r="I345" s="74"/>
      <c r="J345" s="68">
        <f t="shared" si="78"/>
        <v>0</v>
      </c>
      <c r="K345" s="74"/>
      <c r="L345" s="74"/>
      <c r="M345" s="74"/>
      <c r="N345" s="74"/>
      <c r="O345" s="74">
        <f>K345</f>
        <v>0</v>
      </c>
      <c r="P345" s="170">
        <f t="shared" si="74"/>
        <v>0</v>
      </c>
      <c r="Q345" s="11"/>
      <c r="R345" s="11"/>
      <c r="S345" s="11"/>
      <c r="T345" s="11"/>
      <c r="U345" s="11"/>
    </row>
    <row r="346" spans="1:21" s="46" customFormat="1" hidden="1" x14ac:dyDescent="0.2">
      <c r="A346" s="52" t="s">
        <v>593</v>
      </c>
      <c r="B346" s="39" t="s">
        <v>193</v>
      </c>
      <c r="C346" s="39" t="s">
        <v>128</v>
      </c>
      <c r="D346" s="40" t="s">
        <v>194</v>
      </c>
      <c r="E346" s="57">
        <f t="shared" si="71"/>
        <v>0</v>
      </c>
      <c r="F346" s="168"/>
      <c r="G346" s="168"/>
      <c r="H346" s="168"/>
      <c r="I346" s="168"/>
      <c r="J346" s="68">
        <f t="shared" si="78"/>
        <v>0</v>
      </c>
      <c r="K346" s="168"/>
      <c r="L346" s="168"/>
      <c r="M346" s="168"/>
      <c r="N346" s="168"/>
      <c r="O346" s="74">
        <f>K346</f>
        <v>0</v>
      </c>
      <c r="P346" s="170">
        <f t="shared" si="74"/>
        <v>0</v>
      </c>
      <c r="Q346" s="28"/>
      <c r="R346" s="28"/>
      <c r="S346" s="28"/>
      <c r="T346" s="28"/>
      <c r="U346" s="28"/>
    </row>
    <row r="347" spans="1:21" s="46" customFormat="1" x14ac:dyDescent="0.2">
      <c r="A347" s="51" t="s">
        <v>620</v>
      </c>
      <c r="B347" s="139" t="s">
        <v>502</v>
      </c>
      <c r="C347" s="139" t="s">
        <v>130</v>
      </c>
      <c r="D347" s="56" t="s">
        <v>134</v>
      </c>
      <c r="E347" s="57">
        <f t="shared" si="71"/>
        <v>0</v>
      </c>
      <c r="F347" s="171"/>
      <c r="G347" s="171"/>
      <c r="H347" s="171"/>
      <c r="I347" s="171"/>
      <c r="J347" s="87">
        <f t="shared" si="78"/>
        <v>40000000</v>
      </c>
      <c r="K347" s="171"/>
      <c r="L347" s="171"/>
      <c r="M347" s="171"/>
      <c r="N347" s="171"/>
      <c r="O347" s="168">
        <v>40000000</v>
      </c>
      <c r="P347" s="169">
        <f t="shared" si="74"/>
        <v>40000000</v>
      </c>
      <c r="Q347" s="28"/>
      <c r="R347" s="28"/>
      <c r="S347" s="28"/>
      <c r="T347" s="28"/>
      <c r="U347" s="28"/>
    </row>
    <row r="348" spans="1:21" s="46" customFormat="1" ht="15" customHeight="1" x14ac:dyDescent="0.2">
      <c r="A348" s="51"/>
      <c r="B348" s="139"/>
      <c r="C348" s="139"/>
      <c r="D348" s="56" t="s">
        <v>515</v>
      </c>
      <c r="E348" s="57">
        <f>F348+I348</f>
        <v>0</v>
      </c>
      <c r="F348" s="58"/>
      <c r="G348" s="58"/>
      <c r="H348" s="58"/>
      <c r="I348" s="58"/>
      <c r="J348" s="57">
        <f>L348+O348</f>
        <v>40000000</v>
      </c>
      <c r="K348" s="58"/>
      <c r="L348" s="58"/>
      <c r="M348" s="58"/>
      <c r="N348" s="58"/>
      <c r="O348" s="58">
        <f>O347</f>
        <v>40000000</v>
      </c>
      <c r="P348" s="170">
        <f>E348+J348</f>
        <v>40000000</v>
      </c>
      <c r="Q348" s="28"/>
      <c r="R348" s="28"/>
      <c r="S348" s="28"/>
      <c r="T348" s="28"/>
      <c r="U348" s="28"/>
    </row>
    <row r="349" spans="1:21" s="48" customFormat="1" ht="25.5" hidden="1" x14ac:dyDescent="0.2">
      <c r="A349" s="50" t="s">
        <v>618</v>
      </c>
      <c r="B349" s="47" t="s">
        <v>619</v>
      </c>
      <c r="C349" s="47" t="s">
        <v>376</v>
      </c>
      <c r="D349" s="97" t="s">
        <v>621</v>
      </c>
      <c r="E349" s="57">
        <f t="shared" si="71"/>
        <v>0</v>
      </c>
      <c r="F349" s="58"/>
      <c r="G349" s="58"/>
      <c r="H349" s="58"/>
      <c r="I349" s="58"/>
      <c r="J349" s="57">
        <f t="shared" si="78"/>
        <v>0</v>
      </c>
      <c r="K349" s="58"/>
      <c r="L349" s="58"/>
      <c r="M349" s="58"/>
      <c r="N349" s="58"/>
      <c r="O349" s="58"/>
      <c r="P349" s="170">
        <f t="shared" si="74"/>
        <v>0</v>
      </c>
      <c r="Q349" s="11"/>
      <c r="R349" s="11"/>
      <c r="S349" s="11"/>
      <c r="T349" s="11"/>
      <c r="U349" s="11"/>
    </row>
    <row r="350" spans="1:21" s="48" customFormat="1" ht="25.5" hidden="1" x14ac:dyDescent="0.2">
      <c r="A350" s="50"/>
      <c r="B350" s="47"/>
      <c r="C350" s="47"/>
      <c r="D350" s="56" t="s">
        <v>616</v>
      </c>
      <c r="E350" s="57"/>
      <c r="F350" s="58"/>
      <c r="G350" s="58"/>
      <c r="H350" s="58"/>
      <c r="I350" s="58"/>
      <c r="J350" s="57">
        <f t="shared" si="78"/>
        <v>0</v>
      </c>
      <c r="K350" s="58"/>
      <c r="L350" s="58"/>
      <c r="M350" s="58"/>
      <c r="N350" s="58"/>
      <c r="O350" s="58">
        <f>O349</f>
        <v>0</v>
      </c>
      <c r="P350" s="170">
        <f t="shared" si="74"/>
        <v>0</v>
      </c>
      <c r="Q350" s="11"/>
      <c r="R350" s="11"/>
      <c r="S350" s="11"/>
      <c r="T350" s="11"/>
      <c r="U350" s="11"/>
    </row>
    <row r="351" spans="1:21" s="48" customFormat="1" hidden="1" x14ac:dyDescent="0.2">
      <c r="A351" s="50"/>
      <c r="B351" s="47"/>
      <c r="C351" s="47"/>
      <c r="D351" s="56"/>
      <c r="E351" s="57"/>
      <c r="F351" s="58"/>
      <c r="G351" s="58"/>
      <c r="H351" s="58"/>
      <c r="I351" s="58"/>
      <c r="J351" s="57"/>
      <c r="K351" s="58"/>
      <c r="L351" s="58"/>
      <c r="M351" s="58"/>
      <c r="N351" s="58"/>
      <c r="O351" s="58"/>
      <c r="P351" s="170"/>
      <c r="Q351" s="11"/>
      <c r="R351" s="11"/>
      <c r="S351" s="11"/>
      <c r="T351" s="11"/>
      <c r="U351" s="11"/>
    </row>
    <row r="352" spans="1:21" s="46" customFormat="1" ht="15.75" customHeight="1" x14ac:dyDescent="0.2">
      <c r="A352" s="53">
        <v>3100000</v>
      </c>
      <c r="B352" s="172"/>
      <c r="C352" s="173"/>
      <c r="D352" s="174" t="s">
        <v>74</v>
      </c>
      <c r="E352" s="175">
        <f>E354</f>
        <v>1851000</v>
      </c>
      <c r="F352" s="175">
        <f t="shared" ref="F352:O352" si="79">F354</f>
        <v>1851000</v>
      </c>
      <c r="G352" s="175">
        <f t="shared" si="79"/>
        <v>1311500</v>
      </c>
      <c r="H352" s="175">
        <f t="shared" si="79"/>
        <v>0</v>
      </c>
      <c r="I352" s="175">
        <f t="shared" si="79"/>
        <v>0</v>
      </c>
      <c r="J352" s="175">
        <f t="shared" si="79"/>
        <v>199000</v>
      </c>
      <c r="K352" s="175">
        <f>K354</f>
        <v>199000</v>
      </c>
      <c r="L352" s="175">
        <f t="shared" si="79"/>
        <v>0</v>
      </c>
      <c r="M352" s="175">
        <f t="shared" si="79"/>
        <v>0</v>
      </c>
      <c r="N352" s="175">
        <f t="shared" si="79"/>
        <v>0</v>
      </c>
      <c r="O352" s="175">
        <f t="shared" si="79"/>
        <v>199000</v>
      </c>
      <c r="P352" s="169">
        <f t="shared" si="74"/>
        <v>2050000</v>
      </c>
      <c r="Q352" s="28"/>
      <c r="R352" s="190"/>
      <c r="S352" s="28"/>
      <c r="T352" s="28"/>
      <c r="U352" s="28"/>
    </row>
    <row r="353" spans="1:21" s="48" customFormat="1" hidden="1" x14ac:dyDescent="0.2">
      <c r="A353" s="50"/>
      <c r="B353" s="183"/>
      <c r="C353" s="72"/>
      <c r="D353" s="184" t="s">
        <v>514</v>
      </c>
      <c r="E353" s="74"/>
      <c r="F353" s="74"/>
      <c r="G353" s="74"/>
      <c r="H353" s="74"/>
      <c r="I353" s="74"/>
      <c r="J353" s="74">
        <f>J358</f>
        <v>0</v>
      </c>
      <c r="K353" s="74">
        <f>K358</f>
        <v>0</v>
      </c>
      <c r="L353" s="74"/>
      <c r="M353" s="74"/>
      <c r="N353" s="74"/>
      <c r="O353" s="175">
        <f>K353</f>
        <v>0</v>
      </c>
      <c r="P353" s="169">
        <f>E353+J353</f>
        <v>0</v>
      </c>
      <c r="Q353" s="11"/>
      <c r="R353" s="11"/>
      <c r="S353" s="11"/>
      <c r="T353" s="11"/>
      <c r="U353" s="11"/>
    </row>
    <row r="354" spans="1:21" x14ac:dyDescent="0.2">
      <c r="A354" s="51" t="s">
        <v>358</v>
      </c>
      <c r="B354" s="96"/>
      <c r="C354" s="106"/>
      <c r="D354" s="85" t="s">
        <v>74</v>
      </c>
      <c r="E354" s="100">
        <f>E355+E356+E359+E364</f>
        <v>1851000</v>
      </c>
      <c r="F354" s="100">
        <f>F355+F356+F359+F364</f>
        <v>1851000</v>
      </c>
      <c r="G354" s="100">
        <f>G355+G356+G359+G364</f>
        <v>1311500</v>
      </c>
      <c r="H354" s="100">
        <f>H355+H356+H359+H364</f>
        <v>0</v>
      </c>
      <c r="I354" s="100">
        <f>I355+I356+I359+I364</f>
        <v>0</v>
      </c>
      <c r="J354" s="100">
        <f t="shared" ref="J354:O354" si="80">J355+J356+J359+J364+J360+J363</f>
        <v>199000</v>
      </c>
      <c r="K354" s="100">
        <f t="shared" si="80"/>
        <v>199000</v>
      </c>
      <c r="L354" s="100">
        <f t="shared" si="80"/>
        <v>0</v>
      </c>
      <c r="M354" s="100">
        <f t="shared" si="80"/>
        <v>0</v>
      </c>
      <c r="N354" s="100">
        <f t="shared" si="80"/>
        <v>0</v>
      </c>
      <c r="O354" s="100">
        <f t="shared" si="80"/>
        <v>199000</v>
      </c>
      <c r="P354" s="100">
        <f>P355+P356+P359+P364</f>
        <v>2050000</v>
      </c>
      <c r="Q354" s="6"/>
      <c r="R354" s="6"/>
      <c r="S354" s="6"/>
      <c r="T354" s="6"/>
      <c r="U354" s="6"/>
    </row>
    <row r="355" spans="1:21" s="6" customFormat="1" ht="25.5" x14ac:dyDescent="0.2">
      <c r="A355" s="51" t="s">
        <v>359</v>
      </c>
      <c r="B355" s="36" t="s">
        <v>197</v>
      </c>
      <c r="C355" s="36" t="s">
        <v>122</v>
      </c>
      <c r="D355" s="99" t="s">
        <v>196</v>
      </c>
      <c r="E355" s="68">
        <f t="shared" ref="E355:E361" si="81">F355+I355</f>
        <v>1652000</v>
      </c>
      <c r="F355" s="69">
        <f>1247700+404300</f>
        <v>1652000</v>
      </c>
      <c r="G355" s="69">
        <f>980100+331400</f>
        <v>1311500</v>
      </c>
      <c r="H355" s="69"/>
      <c r="I355" s="69"/>
      <c r="J355" s="68">
        <f>L355+O355</f>
        <v>0</v>
      </c>
      <c r="K355" s="69"/>
      <c r="L355" s="69"/>
      <c r="M355" s="69"/>
      <c r="N355" s="69"/>
      <c r="O355" s="69">
        <f>K355</f>
        <v>0</v>
      </c>
      <c r="P355" s="88">
        <f t="shared" ref="P355:P366" si="82">E355+J355</f>
        <v>1652000</v>
      </c>
    </row>
    <row r="356" spans="1:21" s="6" customFormat="1" hidden="1" x14ac:dyDescent="0.2">
      <c r="A356" s="51" t="s">
        <v>362</v>
      </c>
      <c r="B356" s="62" t="s">
        <v>361</v>
      </c>
      <c r="C356" s="62" t="s">
        <v>127</v>
      </c>
      <c r="D356" s="133" t="s">
        <v>360</v>
      </c>
      <c r="E356" s="68">
        <f t="shared" si="81"/>
        <v>0</v>
      </c>
      <c r="F356" s="69"/>
      <c r="G356" s="69"/>
      <c r="H356" s="69"/>
      <c r="I356" s="69"/>
      <c r="J356" s="68">
        <f>L356+O356</f>
        <v>0</v>
      </c>
      <c r="K356" s="69"/>
      <c r="L356" s="69"/>
      <c r="M356" s="69"/>
      <c r="N356" s="69"/>
      <c r="O356" s="69">
        <f>K356</f>
        <v>0</v>
      </c>
      <c r="P356" s="88">
        <f t="shared" si="82"/>
        <v>0</v>
      </c>
    </row>
    <row r="357" spans="1:21" s="13" customFormat="1" ht="17.25" hidden="1" customHeight="1" x14ac:dyDescent="0.2">
      <c r="A357" s="50" t="s">
        <v>371</v>
      </c>
      <c r="B357" s="39" t="s">
        <v>370</v>
      </c>
      <c r="C357" s="39" t="s">
        <v>125</v>
      </c>
      <c r="D357" s="40" t="s">
        <v>369</v>
      </c>
      <c r="E357" s="68">
        <f>F357+I357</f>
        <v>0</v>
      </c>
      <c r="F357" s="91"/>
      <c r="G357" s="91"/>
      <c r="H357" s="91"/>
      <c r="I357" s="91"/>
      <c r="J357" s="68">
        <f>L357+O357</f>
        <v>0</v>
      </c>
      <c r="K357" s="91"/>
      <c r="L357" s="91"/>
      <c r="M357" s="91"/>
      <c r="N357" s="91"/>
      <c r="O357" s="91">
        <f>K357</f>
        <v>0</v>
      </c>
      <c r="P357" s="88">
        <f>E357+J357</f>
        <v>0</v>
      </c>
      <c r="Q357" s="11"/>
      <c r="R357" s="11"/>
      <c r="S357" s="11"/>
      <c r="T357" s="11"/>
      <c r="U357" s="11"/>
    </row>
    <row r="358" spans="1:21" s="13" customFormat="1" hidden="1" x14ac:dyDescent="0.2">
      <c r="A358" s="50"/>
      <c r="B358" s="39"/>
      <c r="C358" s="39"/>
      <c r="D358" s="40" t="s">
        <v>514</v>
      </c>
      <c r="E358" s="64"/>
      <c r="F358" s="91"/>
      <c r="G358" s="91"/>
      <c r="H358" s="91"/>
      <c r="I358" s="91"/>
      <c r="J358" s="68">
        <f>K358</f>
        <v>0</v>
      </c>
      <c r="K358" s="91"/>
      <c r="L358" s="91"/>
      <c r="M358" s="91"/>
      <c r="N358" s="91"/>
      <c r="O358" s="91">
        <f>K358</f>
        <v>0</v>
      </c>
      <c r="P358" s="88">
        <f>E358+J358</f>
        <v>0</v>
      </c>
      <c r="Q358" s="11"/>
      <c r="R358" s="11"/>
      <c r="S358" s="11"/>
      <c r="T358" s="11"/>
      <c r="U358" s="11"/>
    </row>
    <row r="359" spans="1:21" s="6" customFormat="1" x14ac:dyDescent="0.2">
      <c r="A359" s="51" t="s">
        <v>365</v>
      </c>
      <c r="B359" s="36" t="s">
        <v>364</v>
      </c>
      <c r="C359" s="36" t="s">
        <v>128</v>
      </c>
      <c r="D359" s="37" t="s">
        <v>363</v>
      </c>
      <c r="E359" s="68">
        <f t="shared" si="81"/>
        <v>0</v>
      </c>
      <c r="F359" s="69"/>
      <c r="G359" s="69"/>
      <c r="H359" s="69"/>
      <c r="I359" s="69"/>
      <c r="J359" s="68">
        <f>L359+O359</f>
        <v>199000</v>
      </c>
      <c r="K359" s="69">
        <v>199000</v>
      </c>
      <c r="L359" s="69"/>
      <c r="M359" s="69"/>
      <c r="N359" s="69"/>
      <c r="O359" s="69">
        <f>K359</f>
        <v>199000</v>
      </c>
      <c r="P359" s="88">
        <f t="shared" si="82"/>
        <v>199000</v>
      </c>
    </row>
    <row r="360" spans="1:21" ht="17.25" hidden="1" customHeight="1" x14ac:dyDescent="0.2">
      <c r="A360" s="51" t="s">
        <v>368</v>
      </c>
      <c r="B360" s="14" t="s">
        <v>367</v>
      </c>
      <c r="C360" s="14"/>
      <c r="D360" s="38" t="s">
        <v>366</v>
      </c>
      <c r="E360" s="68">
        <f t="shared" si="81"/>
        <v>0</v>
      </c>
      <c r="F360" s="93">
        <f>F357</f>
        <v>0</v>
      </c>
      <c r="G360" s="93">
        <f>G357</f>
        <v>0</v>
      </c>
      <c r="H360" s="93">
        <f>H357</f>
        <v>0</v>
      </c>
      <c r="I360" s="93">
        <f>I357</f>
        <v>0</v>
      </c>
      <c r="J360" s="93">
        <f t="shared" ref="J360:O360" si="83">J357+J361</f>
        <v>0</v>
      </c>
      <c r="K360" s="93">
        <f t="shared" si="83"/>
        <v>0</v>
      </c>
      <c r="L360" s="93">
        <f t="shared" si="83"/>
        <v>0</v>
      </c>
      <c r="M360" s="93">
        <f t="shared" si="83"/>
        <v>0</v>
      </c>
      <c r="N360" s="93">
        <f t="shared" si="83"/>
        <v>0</v>
      </c>
      <c r="O360" s="93">
        <f t="shared" si="83"/>
        <v>0</v>
      </c>
      <c r="P360" s="88">
        <f t="shared" si="82"/>
        <v>0</v>
      </c>
      <c r="Q360" s="6"/>
      <c r="R360" s="6"/>
      <c r="S360" s="6"/>
      <c r="T360" s="6"/>
      <c r="U360" s="6"/>
    </row>
    <row r="361" spans="1:21" s="13" customFormat="1" ht="38.25" hidden="1" x14ac:dyDescent="0.2">
      <c r="A361" s="50" t="s">
        <v>559</v>
      </c>
      <c r="B361" s="39" t="s">
        <v>560</v>
      </c>
      <c r="C361" s="39"/>
      <c r="D361" s="44" t="s">
        <v>561</v>
      </c>
      <c r="E361" s="68">
        <f t="shared" si="81"/>
        <v>0</v>
      </c>
      <c r="F361" s="91"/>
      <c r="G361" s="91"/>
      <c r="H361" s="91"/>
      <c r="I361" s="91"/>
      <c r="J361" s="68">
        <f>L361+O361</f>
        <v>0</v>
      </c>
      <c r="K361" s="91"/>
      <c r="L361" s="91"/>
      <c r="M361" s="91"/>
      <c r="N361" s="91"/>
      <c r="O361" s="91">
        <f>K361</f>
        <v>0</v>
      </c>
      <c r="P361" s="88">
        <f t="shared" si="82"/>
        <v>0</v>
      </c>
      <c r="Q361" s="11"/>
      <c r="R361" s="11"/>
      <c r="S361" s="11"/>
      <c r="T361" s="11"/>
      <c r="U361" s="11"/>
    </row>
    <row r="362" spans="1:21" s="13" customFormat="1" ht="51" hidden="1" x14ac:dyDescent="0.2">
      <c r="A362" s="50"/>
      <c r="B362" s="39"/>
      <c r="C362" s="39"/>
      <c r="D362" s="40" t="s">
        <v>562</v>
      </c>
      <c r="E362" s="68"/>
      <c r="F362" s="91"/>
      <c r="G362" s="91"/>
      <c r="H362" s="91"/>
      <c r="I362" s="91"/>
      <c r="J362" s="68">
        <f>L362+O362</f>
        <v>0</v>
      </c>
      <c r="K362" s="91"/>
      <c r="L362" s="91"/>
      <c r="M362" s="91"/>
      <c r="N362" s="91"/>
      <c r="O362" s="91">
        <f>K362</f>
        <v>0</v>
      </c>
      <c r="P362" s="88">
        <f t="shared" si="82"/>
        <v>0</v>
      </c>
      <c r="Q362" s="11"/>
      <c r="R362" s="11"/>
      <c r="S362" s="11"/>
      <c r="T362" s="11"/>
      <c r="U362" s="11"/>
    </row>
    <row r="363" spans="1:21" s="27" customFormat="1" hidden="1" x14ac:dyDescent="0.2">
      <c r="A363" s="52" t="s">
        <v>507</v>
      </c>
      <c r="B363" s="14" t="s">
        <v>184</v>
      </c>
      <c r="C363" s="14" t="s">
        <v>128</v>
      </c>
      <c r="D363" s="44" t="s">
        <v>350</v>
      </c>
      <c r="E363" s="68"/>
      <c r="F363" s="93"/>
      <c r="G363" s="93"/>
      <c r="H363" s="93"/>
      <c r="I363" s="93"/>
      <c r="J363" s="68">
        <f>L363+O363</f>
        <v>0</v>
      </c>
      <c r="K363" s="93"/>
      <c r="L363" s="93"/>
      <c r="M363" s="93"/>
      <c r="N363" s="93"/>
      <c r="O363" s="93">
        <f>K363</f>
        <v>0</v>
      </c>
      <c r="P363" s="88">
        <f t="shared" si="82"/>
        <v>0</v>
      </c>
      <c r="Q363" s="28"/>
      <c r="R363" s="28"/>
      <c r="S363" s="28"/>
      <c r="T363" s="28"/>
      <c r="U363" s="28"/>
    </row>
    <row r="364" spans="1:21" s="27" customFormat="1" hidden="1" x14ac:dyDescent="0.2">
      <c r="A364" s="52" t="s">
        <v>488</v>
      </c>
      <c r="B364" s="14" t="s">
        <v>189</v>
      </c>
      <c r="C364" s="14"/>
      <c r="D364" s="44" t="s">
        <v>191</v>
      </c>
      <c r="E364" s="68">
        <f>E365</f>
        <v>199000</v>
      </c>
      <c r="F364" s="68">
        <f t="shared" ref="F364:O364" si="84">F365</f>
        <v>199000</v>
      </c>
      <c r="G364" s="68">
        <f t="shared" si="84"/>
        <v>0</v>
      </c>
      <c r="H364" s="68">
        <f t="shared" si="84"/>
        <v>0</v>
      </c>
      <c r="I364" s="68">
        <f t="shared" si="84"/>
        <v>0</v>
      </c>
      <c r="J364" s="68">
        <f t="shared" si="84"/>
        <v>0</v>
      </c>
      <c r="K364" s="68">
        <f>K365</f>
        <v>0</v>
      </c>
      <c r="L364" s="68">
        <f t="shared" si="84"/>
        <v>0</v>
      </c>
      <c r="M364" s="68">
        <f t="shared" si="84"/>
        <v>0</v>
      </c>
      <c r="N364" s="68">
        <f t="shared" si="84"/>
        <v>0</v>
      </c>
      <c r="O364" s="68">
        <f t="shared" si="84"/>
        <v>0</v>
      </c>
      <c r="P364" s="88">
        <f t="shared" si="82"/>
        <v>199000</v>
      </c>
      <c r="Q364" s="28"/>
      <c r="R364" s="28"/>
      <c r="S364" s="28"/>
      <c r="T364" s="28"/>
      <c r="U364" s="28"/>
    </row>
    <row r="365" spans="1:21" s="13" customFormat="1" ht="16.899999999999999" customHeight="1" x14ac:dyDescent="0.2">
      <c r="A365" s="50" t="s">
        <v>489</v>
      </c>
      <c r="B365" s="39" t="s">
        <v>193</v>
      </c>
      <c r="C365" s="39" t="s">
        <v>128</v>
      </c>
      <c r="D365" s="40" t="s">
        <v>194</v>
      </c>
      <c r="E365" s="64">
        <f>F365+I365</f>
        <v>199000</v>
      </c>
      <c r="F365" s="91">
        <v>199000</v>
      </c>
      <c r="G365" s="91"/>
      <c r="H365" s="91"/>
      <c r="I365" s="91"/>
      <c r="J365" s="68">
        <f>L365+O365</f>
        <v>0</v>
      </c>
      <c r="K365" s="91"/>
      <c r="L365" s="91"/>
      <c r="M365" s="91"/>
      <c r="N365" s="91"/>
      <c r="O365" s="91"/>
      <c r="P365" s="103">
        <f t="shared" si="82"/>
        <v>199000</v>
      </c>
      <c r="Q365" s="11"/>
      <c r="R365" s="11"/>
      <c r="S365" s="11"/>
      <c r="T365" s="11"/>
      <c r="U365" s="11"/>
    </row>
    <row r="366" spans="1:21" s="6" customFormat="1" ht="15" customHeight="1" x14ac:dyDescent="0.2">
      <c r="A366" s="53">
        <v>3700000</v>
      </c>
      <c r="B366" s="41"/>
      <c r="C366" s="42"/>
      <c r="D366" s="142" t="s">
        <v>76</v>
      </c>
      <c r="E366" s="143">
        <f>E367</f>
        <v>26526505</v>
      </c>
      <c r="F366" s="143">
        <f t="shared" ref="F366:O366" si="85">F367</f>
        <v>23786505</v>
      </c>
      <c r="G366" s="143">
        <f t="shared" si="85"/>
        <v>6171200</v>
      </c>
      <c r="H366" s="143">
        <f t="shared" si="85"/>
        <v>105600</v>
      </c>
      <c r="I366" s="143">
        <f t="shared" si="85"/>
        <v>0</v>
      </c>
      <c r="J366" s="143">
        <f t="shared" si="85"/>
        <v>6137500</v>
      </c>
      <c r="K366" s="143">
        <f>K367</f>
        <v>6137500</v>
      </c>
      <c r="L366" s="143">
        <f t="shared" si="85"/>
        <v>0</v>
      </c>
      <c r="M366" s="143">
        <f t="shared" si="85"/>
        <v>0</v>
      </c>
      <c r="N366" s="143">
        <f t="shared" si="85"/>
        <v>0</v>
      </c>
      <c r="O366" s="143">
        <f t="shared" si="85"/>
        <v>6137500</v>
      </c>
      <c r="P366" s="88">
        <f t="shared" si="82"/>
        <v>32664005</v>
      </c>
      <c r="R366" s="190"/>
    </row>
    <row r="367" spans="1:21" s="6" customFormat="1" x14ac:dyDescent="0.2">
      <c r="A367" s="51" t="s">
        <v>372</v>
      </c>
      <c r="B367" s="43"/>
      <c r="C367" s="42"/>
      <c r="D367" s="135" t="s">
        <v>76</v>
      </c>
      <c r="E367" s="143">
        <f>E368+E370+E372+E369+E371</f>
        <v>26526505</v>
      </c>
      <c r="F367" s="143">
        <f t="shared" ref="F367:P367" si="86">F368+F370+F372+F369+F371</f>
        <v>23786505</v>
      </c>
      <c r="G367" s="143">
        <f t="shared" si="86"/>
        <v>6171200</v>
      </c>
      <c r="H367" s="143">
        <f t="shared" si="86"/>
        <v>105600</v>
      </c>
      <c r="I367" s="143">
        <f t="shared" si="86"/>
        <v>0</v>
      </c>
      <c r="J367" s="143">
        <f>J368+J370+J372+J369+J371</f>
        <v>6137500</v>
      </c>
      <c r="K367" s="143">
        <f>K368+K370+K372+K369+K371</f>
        <v>6137500</v>
      </c>
      <c r="L367" s="143">
        <f t="shared" si="86"/>
        <v>0</v>
      </c>
      <c r="M367" s="143">
        <f t="shared" si="86"/>
        <v>0</v>
      </c>
      <c r="N367" s="143">
        <f t="shared" si="86"/>
        <v>0</v>
      </c>
      <c r="O367" s="143">
        <f t="shared" si="86"/>
        <v>6137500</v>
      </c>
      <c r="P367" s="143">
        <f t="shared" si="86"/>
        <v>32664005</v>
      </c>
    </row>
    <row r="368" spans="1:21" s="6" customFormat="1" ht="25.9" customHeight="1" x14ac:dyDescent="0.2">
      <c r="A368" s="51" t="s">
        <v>373</v>
      </c>
      <c r="B368" s="36" t="s">
        <v>197</v>
      </c>
      <c r="C368" s="36" t="s">
        <v>122</v>
      </c>
      <c r="D368" s="99" t="s">
        <v>196</v>
      </c>
      <c r="E368" s="68">
        <f>F368+I368</f>
        <v>7997700</v>
      </c>
      <c r="F368" s="69">
        <f>7544700+453000</f>
        <v>7997700</v>
      </c>
      <c r="G368" s="69">
        <f>5800000+371200</f>
        <v>6171200</v>
      </c>
      <c r="H368" s="69">
        <v>105600</v>
      </c>
      <c r="I368" s="69"/>
      <c r="J368" s="68">
        <f>L368+O368</f>
        <v>5137500</v>
      </c>
      <c r="K368" s="69">
        <v>5137500</v>
      </c>
      <c r="L368" s="69"/>
      <c r="M368" s="69"/>
      <c r="N368" s="69"/>
      <c r="O368" s="69">
        <f>K368</f>
        <v>5137500</v>
      </c>
      <c r="P368" s="88">
        <f>E368+J368</f>
        <v>13135200</v>
      </c>
    </row>
    <row r="369" spans="1:21" s="6" customFormat="1" x14ac:dyDescent="0.2">
      <c r="A369" s="51" t="s">
        <v>544</v>
      </c>
      <c r="B369" s="36" t="s">
        <v>29</v>
      </c>
      <c r="C369" s="36" t="s">
        <v>545</v>
      </c>
      <c r="D369" s="95" t="s">
        <v>546</v>
      </c>
      <c r="E369" s="68">
        <f>F369+I369</f>
        <v>15488805</v>
      </c>
      <c r="F369" s="69">
        <v>15488805</v>
      </c>
      <c r="G369" s="69"/>
      <c r="H369" s="69"/>
      <c r="I369" s="69"/>
      <c r="J369" s="68"/>
      <c r="K369" s="69"/>
      <c r="L369" s="69"/>
      <c r="M369" s="69"/>
      <c r="N369" s="69"/>
      <c r="O369" s="69"/>
      <c r="P369" s="88">
        <f>E369+J369</f>
        <v>15488805</v>
      </c>
    </row>
    <row r="370" spans="1:21" s="6" customFormat="1" x14ac:dyDescent="0.2">
      <c r="A370" s="51" t="s">
        <v>375</v>
      </c>
      <c r="B370" s="43" t="s">
        <v>374</v>
      </c>
      <c r="C370" s="62" t="s">
        <v>135</v>
      </c>
      <c r="D370" s="176" t="s">
        <v>77</v>
      </c>
      <c r="E370" s="88">
        <v>2740000</v>
      </c>
      <c r="F370" s="69"/>
      <c r="G370" s="69"/>
      <c r="H370" s="69"/>
      <c r="I370" s="69"/>
      <c r="J370" s="68">
        <f>L370+O370</f>
        <v>0</v>
      </c>
      <c r="K370" s="69"/>
      <c r="L370" s="69"/>
      <c r="M370" s="69"/>
      <c r="N370" s="69"/>
      <c r="O370" s="69">
        <f>K370</f>
        <v>0</v>
      </c>
      <c r="P370" s="88">
        <f>E370+J370</f>
        <v>2740000</v>
      </c>
    </row>
    <row r="371" spans="1:21" s="6" customFormat="1" ht="20.25" hidden="1" customHeight="1" x14ac:dyDescent="0.2">
      <c r="A371" s="51" t="s">
        <v>528</v>
      </c>
      <c r="B371" s="43" t="s">
        <v>529</v>
      </c>
      <c r="C371" s="62" t="s">
        <v>518</v>
      </c>
      <c r="D371" s="176" t="s">
        <v>530</v>
      </c>
      <c r="E371" s="143">
        <v>0</v>
      </c>
      <c r="F371" s="69"/>
      <c r="G371" s="69"/>
      <c r="H371" s="69"/>
      <c r="I371" s="69"/>
      <c r="J371" s="68">
        <f>L371+O371</f>
        <v>0</v>
      </c>
      <c r="K371" s="69"/>
      <c r="L371" s="69"/>
      <c r="M371" s="69"/>
      <c r="N371" s="69"/>
      <c r="O371" s="69">
        <f>K371</f>
        <v>0</v>
      </c>
      <c r="P371" s="88">
        <f>E371+J371</f>
        <v>0</v>
      </c>
    </row>
    <row r="372" spans="1:21" s="6" customFormat="1" ht="25.5" x14ac:dyDescent="0.2">
      <c r="A372" s="51" t="s">
        <v>519</v>
      </c>
      <c r="B372" s="43" t="s">
        <v>516</v>
      </c>
      <c r="C372" s="62" t="s">
        <v>518</v>
      </c>
      <c r="D372" s="176" t="s">
        <v>517</v>
      </c>
      <c r="E372" s="143">
        <f>F372+I372</f>
        <v>300000</v>
      </c>
      <c r="F372" s="69">
        <v>300000</v>
      </c>
      <c r="G372" s="69"/>
      <c r="H372" s="69"/>
      <c r="I372" s="69"/>
      <c r="J372" s="68">
        <f>L372+O372</f>
        <v>1000000</v>
      </c>
      <c r="K372" s="69">
        <v>1000000</v>
      </c>
      <c r="L372" s="69"/>
      <c r="M372" s="69"/>
      <c r="N372" s="69"/>
      <c r="O372" s="69">
        <f>K372</f>
        <v>1000000</v>
      </c>
      <c r="P372" s="88">
        <f>E372+J372</f>
        <v>1300000</v>
      </c>
    </row>
    <row r="373" spans="1:21" ht="15.75" customHeight="1" x14ac:dyDescent="0.2">
      <c r="A373" s="51"/>
      <c r="B373" s="96"/>
      <c r="C373" s="177"/>
      <c r="D373" s="178" t="s">
        <v>78</v>
      </c>
      <c r="E373" s="100">
        <f>E14+E40+E83+E139+E226+E232+E245+E263+E297+E352+E366</f>
        <v>891347692</v>
      </c>
      <c r="F373" s="100">
        <f t="shared" ref="F373:O373" si="87">F14+F40+F83+F139+F226+F232+F245+F263+F297+F352+F366</f>
        <v>888607692</v>
      </c>
      <c r="G373" s="100">
        <f t="shared" si="87"/>
        <v>462731619</v>
      </c>
      <c r="H373" s="100">
        <f t="shared" si="87"/>
        <v>61270600</v>
      </c>
      <c r="I373" s="100">
        <f t="shared" si="87"/>
        <v>0</v>
      </c>
      <c r="J373" s="100">
        <f t="shared" si="87"/>
        <v>337567739</v>
      </c>
      <c r="K373" s="100">
        <f t="shared" si="87"/>
        <v>269534371</v>
      </c>
      <c r="L373" s="100">
        <f t="shared" si="87"/>
        <v>27423308</v>
      </c>
      <c r="M373" s="100">
        <f t="shared" si="87"/>
        <v>2906550</v>
      </c>
      <c r="N373" s="100">
        <f t="shared" si="87"/>
        <v>783116</v>
      </c>
      <c r="O373" s="100">
        <f t="shared" si="87"/>
        <v>310144431</v>
      </c>
      <c r="P373" s="100">
        <f>P14+P40+P83+P139+P226+P232+P245+P263+P297+P352+P366</f>
        <v>1228915431</v>
      </c>
      <c r="Q373" s="6"/>
      <c r="R373" s="190"/>
      <c r="S373" s="6"/>
      <c r="T373" s="6"/>
      <c r="U373" s="6"/>
    </row>
    <row r="374" spans="1:21" x14ac:dyDescent="0.2">
      <c r="A374" s="59"/>
      <c r="B374" s="60"/>
      <c r="C374" s="61"/>
      <c r="P374" s="190"/>
      <c r="Q374" s="6"/>
      <c r="R374" s="6"/>
      <c r="S374" s="6"/>
      <c r="T374" s="6"/>
      <c r="U374" s="6"/>
    </row>
    <row r="375" spans="1:21" ht="19.5" customHeight="1" x14ac:dyDescent="0.2">
      <c r="A375" s="59"/>
      <c r="B375" s="60"/>
      <c r="C375" s="61"/>
      <c r="D375" s="7" t="s">
        <v>70</v>
      </c>
      <c r="E375" s="7"/>
      <c r="F375" s="7"/>
      <c r="G375" s="7"/>
      <c r="H375" s="7"/>
      <c r="I375" s="7"/>
      <c r="J375" s="7"/>
      <c r="K375" s="7"/>
      <c r="O375" s="7" t="s">
        <v>628</v>
      </c>
    </row>
    <row r="376" spans="1:21" ht="21.75" customHeight="1" x14ac:dyDescent="0.25">
      <c r="A376" s="59"/>
      <c r="B376" s="60"/>
      <c r="C376" s="61"/>
      <c r="D376" s="215" t="s">
        <v>626</v>
      </c>
      <c r="E376" s="216"/>
      <c r="O376" t="s">
        <v>629</v>
      </c>
    </row>
    <row r="377" spans="1:21" ht="13.9" customHeight="1" x14ac:dyDescent="0.2"/>
    <row r="378" spans="1:21" x14ac:dyDescent="0.2">
      <c r="E378">
        <v>989254116</v>
      </c>
      <c r="J378">
        <v>153379300</v>
      </c>
      <c r="K378">
        <v>85465932</v>
      </c>
      <c r="P378">
        <v>1142633416</v>
      </c>
      <c r="Q378" t="s">
        <v>604</v>
      </c>
      <c r="R378" t="s">
        <v>609</v>
      </c>
    </row>
    <row r="379" spans="1:21" x14ac:dyDescent="0.2">
      <c r="E379">
        <f>E378-E373</f>
        <v>97906424</v>
      </c>
      <c r="J379">
        <f>J378-J373</f>
        <v>-184188439</v>
      </c>
      <c r="K379">
        <f>K378-K373</f>
        <v>-184068439</v>
      </c>
      <c r="P379">
        <f>P378-P373</f>
        <v>-86282015</v>
      </c>
      <c r="Q379" t="s">
        <v>608</v>
      </c>
      <c r="R379" t="s">
        <v>610</v>
      </c>
    </row>
    <row r="380" spans="1:21" x14ac:dyDescent="0.2">
      <c r="E380">
        <v>95906424</v>
      </c>
      <c r="J380">
        <v>179050939</v>
      </c>
      <c r="K380">
        <v>178930939</v>
      </c>
      <c r="P380">
        <v>83144515</v>
      </c>
      <c r="Q380" t="s">
        <v>606</v>
      </c>
      <c r="R380" t="s">
        <v>605</v>
      </c>
    </row>
    <row r="381" spans="1:21" x14ac:dyDescent="0.2">
      <c r="E381">
        <f>E379-E380</f>
        <v>2000000</v>
      </c>
      <c r="J381">
        <f>J380+J379</f>
        <v>-5137500</v>
      </c>
      <c r="K381">
        <f>K380+K379</f>
        <v>-5137500</v>
      </c>
      <c r="P381">
        <f>P380+P379</f>
        <v>-3137500</v>
      </c>
    </row>
    <row r="382" spans="1:21" x14ac:dyDescent="0.2">
      <c r="E382">
        <v>2000000</v>
      </c>
      <c r="J382">
        <v>-5137500</v>
      </c>
      <c r="K382">
        <v>-5137500</v>
      </c>
      <c r="P382">
        <v>3137500</v>
      </c>
      <c r="Q382" t="s">
        <v>607</v>
      </c>
      <c r="R382" t="s">
        <v>611</v>
      </c>
    </row>
    <row r="383" spans="1:21" x14ac:dyDescent="0.2">
      <c r="E383">
        <f>E382-E381</f>
        <v>0</v>
      </c>
      <c r="J383">
        <f>J382-J381</f>
        <v>0</v>
      </c>
      <c r="K383">
        <f>K382-K381</f>
        <v>0</v>
      </c>
      <c r="P383">
        <f>P378+P380+P382-P373</f>
        <v>0</v>
      </c>
    </row>
  </sheetData>
  <mergeCells count="25">
    <mergeCell ref="P9:P12"/>
    <mergeCell ref="E10:E12"/>
    <mergeCell ref="F10:F12"/>
    <mergeCell ref="G10:H10"/>
    <mergeCell ref="I10:I12"/>
    <mergeCell ref="O10:O12"/>
    <mergeCell ref="G11:G12"/>
    <mergeCell ref="H11:H12"/>
    <mergeCell ref="L10:L12"/>
    <mergeCell ref="A9:A12"/>
    <mergeCell ref="B9:B12"/>
    <mergeCell ref="C9:C12"/>
    <mergeCell ref="D9:D12"/>
    <mergeCell ref="E9:I9"/>
    <mergeCell ref="D376:E376"/>
    <mergeCell ref="N2:P2"/>
    <mergeCell ref="N4:P4"/>
    <mergeCell ref="C5:P5"/>
    <mergeCell ref="C6:P6"/>
    <mergeCell ref="M11:M12"/>
    <mergeCell ref="J9:O9"/>
    <mergeCell ref="N11:N12"/>
    <mergeCell ref="J10:J12"/>
    <mergeCell ref="K10:K12"/>
    <mergeCell ref="M10:N10"/>
  </mergeCells>
  <phoneticPr fontId="15" type="noConversion"/>
  <hyperlinks>
    <hyperlink ref="C29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6" fitToHeight="4" orientation="landscape" r:id="rId1"/>
  <headerFooter differentFirst="1" alignWithMargins="0">
    <oddHeader>&amp;RПродовження додатка</oddHeader>
  </headerFooter>
  <rowBreaks count="1" manualBreakCount="1">
    <brk id="2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2020-04-22T08:02:46Z</cp:lastPrinted>
  <dcterms:created xsi:type="dcterms:W3CDTF">2016-02-15T14:53:30Z</dcterms:created>
  <dcterms:modified xsi:type="dcterms:W3CDTF">2021-09-14T08:10:14Z</dcterms:modified>
</cp:coreProperties>
</file>